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lanmc01\Desktop\"/>
    </mc:Choice>
  </mc:AlternateContent>
  <bookViews>
    <workbookView xWindow="0" yWindow="150" windowWidth="15300" windowHeight="8730"/>
  </bookViews>
  <sheets>
    <sheet name="Registration" sheetId="1" r:id="rId1"/>
    <sheet name="Sheet2" sheetId="2" state="hidden" r:id="rId2"/>
  </sheets>
  <definedNames>
    <definedName name="Afr">Sheet2!$G$2:$G$5</definedName>
    <definedName name="Asi">Sheet2!$F$2:$F$6</definedName>
    <definedName name="Cardiac">Sheet2!$Z$1:$Z$2</definedName>
    <definedName name="Diet">Sheet2!$S$2:$S$6</definedName>
    <definedName name="eight">Sheet2!$Y$1:$Y$2</definedName>
    <definedName name="eighteen">Sheet2!$R$2:$R$8</definedName>
    <definedName name="Fifteen">Sheet2!$P$2:$P$6</definedName>
    <definedName name="Five">Sheet2!$J$2:$J$3</definedName>
    <definedName name="Four">Sheet2!$I$2:$I$3</definedName>
    <definedName name="Full">Sheet2!$T$2:$T$3</definedName>
    <definedName name="Gender">Sheet2!$W$2:$W$3</definedName>
    <definedName name="Incontinence">Sheet2!$W$4:$W$6</definedName>
    <definedName name="Ment">Sheet2!$B$8:$B$9</definedName>
    <definedName name="Migrant">Sheet2!$V$2:$V$3</definedName>
    <definedName name="Mix">Sheet2!$E$2</definedName>
    <definedName name="Nobacco">Sheet2!$O$11:$O$13</definedName>
    <definedName name="One">Sheet2!$A$2:$A$12</definedName>
    <definedName name="Ope">Sheet2!$L$2</definedName>
    <definedName name="Ophthalmology">Sheet2!$Z$13:$Z$16</definedName>
    <definedName name="Orthopaedic">Sheet2!$Z$3:$Z$8</definedName>
    <definedName name="Oth">Sheet2!$H$2:$H$3</definedName>
    <definedName name="PDF">Registration!$B$4:$E$256</definedName>
    <definedName name="Seven">Sheet2!$N$2:$N$8</definedName>
    <definedName name="Six">Sheet2!$M$2:$M$3</definedName>
    <definedName name="Sixteen">Sheet2!$Q$2:$Q$4</definedName>
    <definedName name="Three">Sheet2!$C$2:$C$6</definedName>
    <definedName name="Tobacco">Sheet2!$O$2:$O$10</definedName>
    <definedName name="Two">Sheet2!$B$2:$B$7</definedName>
    <definedName name="Uterine">Sheet2!$Z$10:$Z$12</definedName>
    <definedName name="Whe">Sheet2!$K$2:$K$6</definedName>
    <definedName name="Whi">Sheet2!$D$2:$D$9</definedName>
  </definedNames>
  <calcPr calcId="152511"/>
</workbook>
</file>

<file path=xl/calcChain.xml><?xml version="1.0" encoding="utf-8"?>
<calcChain xmlns="http://schemas.openxmlformats.org/spreadsheetml/2006/main">
  <c r="D256" i="1" l="1"/>
  <c r="D255" i="1"/>
  <c r="D254" i="1"/>
  <c r="D253" i="1"/>
  <c r="D252" i="1"/>
  <c r="D251" i="1"/>
  <c r="B217" i="1" l="1"/>
  <c r="D34" i="1" l="1"/>
  <c r="B34" i="1"/>
  <c r="D33" i="1"/>
  <c r="D137" i="1"/>
  <c r="B237" i="1" l="1"/>
  <c r="B236" i="1"/>
  <c r="B235" i="1"/>
  <c r="B234" i="1"/>
  <c r="B233" i="1"/>
  <c r="B232" i="1"/>
  <c r="B231" i="1"/>
  <c r="B230" i="1"/>
  <c r="B229" i="1"/>
  <c r="B228" i="1"/>
  <c r="B227" i="1"/>
  <c r="B226" i="1"/>
  <c r="B225" i="1"/>
  <c r="B224" i="1"/>
  <c r="B223" i="1"/>
  <c r="B222" i="1"/>
  <c r="B221" i="1"/>
  <c r="B218" i="1"/>
  <c r="B216" i="1"/>
  <c r="B215" i="1"/>
  <c r="B148" i="1"/>
  <c r="D147" i="1"/>
  <c r="D146" i="1"/>
  <c r="B145" i="1"/>
  <c r="B144" i="1"/>
  <c r="B143" i="1"/>
  <c r="B142" i="1"/>
  <c r="B137" i="1"/>
  <c r="B132" i="1"/>
  <c r="B128" i="1"/>
  <c r="B127" i="1"/>
  <c r="B126" i="1"/>
  <c r="B125" i="1"/>
  <c r="B124" i="1"/>
  <c r="B123" i="1"/>
  <c r="B122" i="1"/>
  <c r="B121" i="1"/>
  <c r="B120" i="1"/>
  <c r="B119" i="1"/>
  <c r="B118" i="1"/>
  <c r="B117" i="1"/>
  <c r="B116" i="1"/>
  <c r="B115" i="1"/>
  <c r="B114" i="1"/>
  <c r="B113" i="1"/>
  <c r="B112" i="1"/>
  <c r="B111" i="1"/>
  <c r="B110" i="1"/>
  <c r="D108" i="1"/>
  <c r="B108" i="1"/>
  <c r="B107" i="1"/>
  <c r="D106" i="1"/>
  <c r="B106" i="1"/>
  <c r="B105" i="1"/>
  <c r="D104" i="1"/>
  <c r="B104" i="1"/>
  <c r="B103" i="1"/>
  <c r="D102" i="1"/>
  <c r="B102" i="1"/>
  <c r="B101" i="1"/>
  <c r="D100" i="1"/>
  <c r="B100" i="1"/>
  <c r="B99" i="1"/>
  <c r="D98" i="1"/>
  <c r="B98" i="1"/>
  <c r="B97" i="1"/>
  <c r="D96" i="1"/>
  <c r="B96" i="1"/>
  <c r="B95" i="1"/>
  <c r="D94" i="1"/>
  <c r="B94" i="1"/>
  <c r="B93" i="1"/>
  <c r="B92" i="1"/>
  <c r="D90" i="1"/>
  <c r="D88" i="1"/>
  <c r="B87" i="1"/>
  <c r="B86" i="1"/>
  <c r="B85" i="1"/>
  <c r="D84" i="1"/>
  <c r="B84" i="1"/>
  <c r="D83" i="1"/>
  <c r="B83" i="1"/>
  <c r="B81" i="1"/>
  <c r="B80" i="1"/>
  <c r="B78" i="1"/>
  <c r="D77" i="1"/>
  <c r="B77" i="1"/>
  <c r="D76" i="1"/>
  <c r="B76" i="1"/>
  <c r="D75" i="1"/>
  <c r="B75" i="1"/>
  <c r="D74" i="1"/>
  <c r="B74" i="1"/>
  <c r="D73" i="1"/>
  <c r="B73" i="1"/>
  <c r="D72" i="1"/>
  <c r="B72" i="1"/>
  <c r="D71" i="1"/>
  <c r="B71" i="1"/>
  <c r="D70" i="1"/>
  <c r="B70" i="1"/>
  <c r="D69" i="1"/>
  <c r="B69" i="1"/>
  <c r="D68" i="1"/>
  <c r="B68" i="1"/>
  <c r="D67" i="1"/>
  <c r="B67" i="1"/>
  <c r="B66" i="1"/>
  <c r="D64" i="1"/>
  <c r="B62" i="1" l="1"/>
  <c r="B61" i="1"/>
  <c r="B58" i="1"/>
  <c r="B57" i="1"/>
  <c r="D55" i="1"/>
  <c r="D54" i="1"/>
  <c r="D53" i="1"/>
  <c r="B55" i="1"/>
  <c r="B54" i="1"/>
  <c r="B53" i="1"/>
  <c r="D51" i="1"/>
  <c r="D50" i="1"/>
  <c r="D49" i="1"/>
  <c r="B51" i="1"/>
  <c r="B50" i="1"/>
  <c r="B49" i="1"/>
  <c r="B47" i="1"/>
  <c r="D42" i="1"/>
  <c r="B43" i="1"/>
  <c r="D58" i="1"/>
  <c r="D57" i="1"/>
  <c r="D56" i="1"/>
  <c r="B32" i="1"/>
  <c r="B31" i="1"/>
  <c r="B30" i="1"/>
  <c r="B29" i="1"/>
  <c r="B28" i="1"/>
  <c r="B26" i="1"/>
  <c r="B25" i="1"/>
  <c r="B24" i="1"/>
  <c r="B23" i="1"/>
  <c r="B12" i="2"/>
  <c r="D7" i="1" s="1"/>
  <c r="N11" i="2" l="1"/>
  <c r="O16" i="2"/>
  <c r="N16" i="2"/>
  <c r="N13" i="2"/>
  <c r="N12" i="2"/>
  <c r="J5" i="2" l="1"/>
  <c r="C12" i="2"/>
</calcChain>
</file>

<file path=xl/comments1.xml><?xml version="1.0" encoding="utf-8"?>
<comments xmlns="http://schemas.openxmlformats.org/spreadsheetml/2006/main">
  <authors>
    <author>n413941</author>
  </authors>
  <commentList>
    <comment ref="B8" authorId="0" shapeId="0">
      <text>
        <r>
          <rPr>
            <b/>
            <sz val="9"/>
            <color indexed="81"/>
            <rFont val="Tahoma"/>
            <family val="2"/>
          </rPr>
          <t>n413941:</t>
        </r>
        <r>
          <rPr>
            <sz val="9"/>
            <color indexed="81"/>
            <rFont val="Tahoma"/>
            <family val="2"/>
          </rPr>
          <t xml:space="preserve">
There is no concise definition of what ethnicity is. Research shows that ethnicity means different things to different people which can include, amongst others, sharing some or all of the following characteristics:
• a sense of common origins
• a common and distinctive history and destiny
• one or more dimensions of collective cultural individuality
• a sense of collective solidarity.
Ethnicity is self-perceived, multi-faceted, often subjective and does not lend itself to a standard definition which fits everyone. Ethnicity is synonymous with neither ancestry or race. People can identify with an ethnicity even though they may not be descended from ancestors with that ethnicity.
</t>
        </r>
      </text>
    </comment>
  </commentList>
</comments>
</file>

<file path=xl/sharedStrings.xml><?xml version="1.0" encoding="utf-8"?>
<sst xmlns="http://schemas.openxmlformats.org/spreadsheetml/2006/main" count="485" uniqueCount="406">
  <si>
    <t>Resource for GP Practices</t>
  </si>
  <si>
    <t>To which religion, religious denomination or body do you actively belong?</t>
  </si>
  <si>
    <t>Christianity – Church of Scotland</t>
  </si>
  <si>
    <t>Christianity – Roman Catholic</t>
  </si>
  <si>
    <t>Christianity other</t>
  </si>
  <si>
    <t>Buddhism</t>
  </si>
  <si>
    <t>Hinduism</t>
  </si>
  <si>
    <t>Sikhism</t>
  </si>
  <si>
    <t>Judaism</t>
  </si>
  <si>
    <t>Islam</t>
  </si>
  <si>
    <t>Other Faith/Belief</t>
  </si>
  <si>
    <t>No Religion</t>
  </si>
  <si>
    <t>Prefer not to answer</t>
  </si>
  <si>
    <t>Sexuality</t>
  </si>
  <si>
    <t>Bisexual</t>
  </si>
  <si>
    <t>Heterosexual</t>
  </si>
  <si>
    <t>Gay Man</t>
  </si>
  <si>
    <t>Lesbian/Gay Women</t>
  </si>
  <si>
    <t>Transgender</t>
  </si>
  <si>
    <t>Gender Reassignment</t>
  </si>
  <si>
    <t>Ethnicity</t>
  </si>
  <si>
    <t>White</t>
  </si>
  <si>
    <t>Scottish</t>
  </si>
  <si>
    <t>English</t>
  </si>
  <si>
    <t>Welsh</t>
  </si>
  <si>
    <t>Northern Irish</t>
  </si>
  <si>
    <t>Irish</t>
  </si>
  <si>
    <t>Gypsy/Traveller</t>
  </si>
  <si>
    <t>Polish</t>
  </si>
  <si>
    <t>Any other white ethnic group, please write in</t>
  </si>
  <si>
    <t>Mixed or multiple ethnic groups</t>
  </si>
  <si>
    <t>any mixed or multiple ethnic groups</t>
  </si>
  <si>
    <t>Asian, Asian Scottish or Asian British</t>
  </si>
  <si>
    <t>Pakistani, Pakistani Scottish or Pakistani British</t>
  </si>
  <si>
    <t>Indian, Indian Scottish or Indian British</t>
  </si>
  <si>
    <t>Bangladeshi, Bangladeshi, Scottish or Bangladeshi British</t>
  </si>
  <si>
    <t>Chinese, Chinese Scottish or Chinese British</t>
  </si>
  <si>
    <t>Other</t>
  </si>
  <si>
    <t>African, Caribbean or Black</t>
  </si>
  <si>
    <t>African, African Scottish or African British</t>
  </si>
  <si>
    <t>Caribbean, Caribbean Scottish or Caribbean British</t>
  </si>
  <si>
    <t>Black, Black Scottish or Black British</t>
  </si>
  <si>
    <t>other</t>
  </si>
  <si>
    <t>Other ethnic group</t>
  </si>
  <si>
    <t>Arab</t>
  </si>
  <si>
    <t>New patient leaflet/information about practice distributed</t>
  </si>
  <si>
    <t>Yes</t>
  </si>
  <si>
    <t>No</t>
  </si>
  <si>
    <t>How will you attend the appointment</t>
  </si>
  <si>
    <t>Open description</t>
  </si>
  <si>
    <t>Wheelchair used</t>
  </si>
  <si>
    <t>Manual</t>
  </si>
  <si>
    <t>Motorised</t>
  </si>
  <si>
    <t>Phone</t>
  </si>
  <si>
    <t>Text</t>
  </si>
  <si>
    <t>Via carer/family</t>
  </si>
  <si>
    <t>Letter</t>
  </si>
  <si>
    <t>Email</t>
  </si>
  <si>
    <t>Braille</t>
  </si>
  <si>
    <t>Face time interpreting (deaf BSL users)</t>
  </si>
  <si>
    <t>Smoke less than 1 (per day)</t>
  </si>
  <si>
    <t>Never ever smoked</t>
  </si>
  <si>
    <t>1-9 (per day)</t>
  </si>
  <si>
    <t>Given up smoking in the last year</t>
  </si>
  <si>
    <t>10-19 (per day)</t>
  </si>
  <si>
    <t>Not smoked for more than 1 year</t>
  </si>
  <si>
    <t>20-39 (per day)</t>
  </si>
  <si>
    <t>More than 40 (per day)</t>
  </si>
  <si>
    <t>Smoke a pipe</t>
  </si>
  <si>
    <t>Smoke cigars</t>
  </si>
  <si>
    <t>Electronic cigarette</t>
  </si>
  <si>
    <t>Other forms of smoking/chewing/inhaling</t>
  </si>
  <si>
    <t>I do drink alcohol</t>
  </si>
  <si>
    <t>Less than 1 unit (per day)</t>
  </si>
  <si>
    <t>Between 1 and 2 units (per day)</t>
  </si>
  <si>
    <t>Between 3 and 6 units (per day)</t>
  </si>
  <si>
    <t>Between 7 and 9 units (per day)</t>
  </si>
  <si>
    <t>More than 9 units (per day)</t>
  </si>
  <si>
    <t>Prefer not to say</t>
  </si>
  <si>
    <t>Diet</t>
  </si>
  <si>
    <t>Vegetarian</t>
  </si>
  <si>
    <t>Non vegetarian</t>
  </si>
  <si>
    <t>Vegan</t>
  </si>
  <si>
    <t>Gluten free</t>
  </si>
  <si>
    <t>Others</t>
  </si>
  <si>
    <t>Employed</t>
  </si>
  <si>
    <t>Part-time</t>
  </si>
  <si>
    <t>Full time</t>
  </si>
  <si>
    <t>New entrant from/holiday or a history of prolonged (more than 3 months) travel in?</t>
  </si>
  <si>
    <t>Afghanistan</t>
  </si>
  <si>
    <t>Angola</t>
  </si>
  <si>
    <t>Bangladesh</t>
  </si>
  <si>
    <t>Bhutan</t>
  </si>
  <si>
    <t>Botswana</t>
  </si>
  <si>
    <t>Cambodia</t>
  </si>
  <si>
    <t>Cameroon</t>
  </si>
  <si>
    <t>Central African Republic</t>
  </si>
  <si>
    <t>Chad</t>
  </si>
  <si>
    <t>Congo</t>
  </si>
  <si>
    <t>Cote d’Ivorie</t>
  </si>
  <si>
    <t>DR Congo</t>
  </si>
  <si>
    <t>Djibouti</t>
  </si>
  <si>
    <t>Equatorial Guinea</t>
  </si>
  <si>
    <t>Ethiopia</t>
  </si>
  <si>
    <t>Eritrea</t>
  </si>
  <si>
    <t>Gabon</t>
  </si>
  <si>
    <t>Gambia</t>
  </si>
  <si>
    <t>Greenland</t>
  </si>
  <si>
    <t>Guinea</t>
  </si>
  <si>
    <t>Guinea-Bissau</t>
  </si>
  <si>
    <t>India</t>
  </si>
  <si>
    <t>Indonesia</t>
  </si>
  <si>
    <t>Iraq</t>
  </si>
  <si>
    <t>Haiti</t>
  </si>
  <si>
    <t>Kenya</t>
  </si>
  <si>
    <t>Korea</t>
  </si>
  <si>
    <t>Korea, DPR</t>
  </si>
  <si>
    <t>Kiribati</t>
  </si>
  <si>
    <t>Laos</t>
  </si>
  <si>
    <t>Lesotho</t>
  </si>
  <si>
    <t>Liberia</t>
  </si>
  <si>
    <t>Madagascar</t>
  </si>
  <si>
    <t>Malawi</t>
  </si>
  <si>
    <t>Marshall Islands</t>
  </si>
  <si>
    <t>Mauritania</t>
  </si>
  <si>
    <t>Micronesia</t>
  </si>
  <si>
    <t>Mongolia</t>
  </si>
  <si>
    <t>Mozambique</t>
  </si>
  <si>
    <t>Myanmar</t>
  </si>
  <si>
    <t>Namibia</t>
  </si>
  <si>
    <t>Nepal</t>
  </si>
  <si>
    <t>Nigeria</t>
  </si>
  <si>
    <t>Pakistan</t>
  </si>
  <si>
    <t>Palau</t>
  </si>
  <si>
    <t>Papua New guinea</t>
  </si>
  <si>
    <t>Philippines</t>
  </si>
  <si>
    <t>Moldova</t>
  </si>
  <si>
    <t>Sierra Leone</t>
  </si>
  <si>
    <t>Somalia</t>
  </si>
  <si>
    <t>South Africa</t>
  </si>
  <si>
    <t>Sri Lanka</t>
  </si>
  <si>
    <t>Sudan</t>
  </si>
  <si>
    <t>Swaziland</t>
  </si>
  <si>
    <t>Syria</t>
  </si>
  <si>
    <t>Tajikistan</t>
  </si>
  <si>
    <t>Tanzania</t>
  </si>
  <si>
    <t>Timor-Leste</t>
  </si>
  <si>
    <t>Tuvalu</t>
  </si>
  <si>
    <t>Uganda</t>
  </si>
  <si>
    <t>Vietnam</t>
  </si>
  <si>
    <t>Zambia</t>
  </si>
  <si>
    <t>Zimbabwe</t>
  </si>
  <si>
    <t>Both</t>
  </si>
  <si>
    <t>Urinary</t>
  </si>
  <si>
    <t>Faecal</t>
  </si>
  <si>
    <t>Blood Pressure</t>
  </si>
  <si>
    <t>Systolic BP</t>
  </si>
  <si>
    <t>Diastolic BP</t>
  </si>
  <si>
    <t>B4</t>
  </si>
  <si>
    <t>B7</t>
  </si>
  <si>
    <t>Manual with Wheelchair helper</t>
  </si>
  <si>
    <t>Motorised with wheelchair helper</t>
  </si>
  <si>
    <t>Motorised with supporting transport</t>
  </si>
  <si>
    <t>Yes or No</t>
  </si>
  <si>
    <t>Preferred mode of communication</t>
  </si>
  <si>
    <t>1. To which religion, religious denomination or body do you actively belong?</t>
  </si>
  <si>
    <t>2. What is your sexuality?</t>
  </si>
  <si>
    <t>3. What is your ethnicity?</t>
  </si>
  <si>
    <t>4. Have you received new patient leaflet/information about the practice?</t>
  </si>
  <si>
    <t>5. How will you attend the appointment?</t>
  </si>
  <si>
    <t>B16</t>
  </si>
  <si>
    <t>B26</t>
  </si>
  <si>
    <t>Do you smoke</t>
  </si>
  <si>
    <t>Injecting</t>
  </si>
  <si>
    <t>Days</t>
  </si>
  <si>
    <t>Migrant</t>
  </si>
  <si>
    <t>Forced</t>
  </si>
  <si>
    <t>Choice</t>
  </si>
  <si>
    <t>Gender</t>
  </si>
  <si>
    <t>Man</t>
  </si>
  <si>
    <t>Woman</t>
  </si>
  <si>
    <t>Question</t>
  </si>
  <si>
    <t>Male</t>
  </si>
  <si>
    <t>Female</t>
  </si>
  <si>
    <t>Patient Name:</t>
  </si>
  <si>
    <t>CHI:</t>
  </si>
  <si>
    <t>E2</t>
  </si>
  <si>
    <t xml:space="preserve">Woman to man </t>
  </si>
  <si>
    <t xml:space="preserve">Man to woman </t>
  </si>
  <si>
    <t>6. [Support at appointment]</t>
  </si>
  <si>
    <t>6a. Do you need a Translator/interpreter?</t>
  </si>
  <si>
    <t>6b. Do you need an Independent advocate or welfare attorney?</t>
  </si>
  <si>
    <t>6c. Would you prefer a Male/Female health care professional?</t>
  </si>
  <si>
    <t>6d. Do you have Learning Disabilities?</t>
  </si>
  <si>
    <t>6e. Do you require a Hearing loop?</t>
  </si>
  <si>
    <t>6f. Do you have a Hearing dog?</t>
  </si>
  <si>
    <t>6g. Do you have a Guide dog?</t>
  </si>
  <si>
    <t>6h. Do you need a Chaperone?</t>
  </si>
  <si>
    <t>6i. Do you have a Physical disability?</t>
  </si>
  <si>
    <t>7. What is your preferred mode of communication?</t>
  </si>
  <si>
    <t>8. Do you have a carer?</t>
  </si>
  <si>
    <t>9. Do you have Power of Attorney status/Welfare Guardian?</t>
  </si>
  <si>
    <t>B39</t>
  </si>
  <si>
    <t>10. [Next of Kin]</t>
  </si>
  <si>
    <t>10a. Name of Next of Kin?</t>
  </si>
  <si>
    <t>10b. Address of Next of Kin?</t>
  </si>
  <si>
    <t>10c. Telephone number of Next of Kin?</t>
  </si>
  <si>
    <t>10d. Email Address of Next of Kin?</t>
  </si>
  <si>
    <t>10e. Additional Notes regarding Next of Kin</t>
  </si>
  <si>
    <t>11. Do you smoke?</t>
  </si>
  <si>
    <t>12. Do you drink alcohol?</t>
  </si>
  <si>
    <t>13. Have you ever injected drugs?</t>
  </si>
  <si>
    <t>15. In the past week, on how many days have you been physically active for a total of 30 minutes or more?</t>
  </si>
  <si>
    <t>16. What do you think are the main risks to your health?</t>
  </si>
  <si>
    <t>17. Do you have any allergies or intolerances?</t>
  </si>
  <si>
    <t>18. What is your diet?</t>
  </si>
  <si>
    <t>19. What, if any, medication do you take regularly?</t>
  </si>
  <si>
    <t>20. Do you have any medical conditions?</t>
  </si>
  <si>
    <t>21. Are you or anyone else in your family concerned that you have memory loss?</t>
  </si>
  <si>
    <t>22. Have you experienced Mental Health problems?</t>
  </si>
  <si>
    <t>23. Do you have any Learning Disabilities including Autistic Spectrum Disorder?</t>
  </si>
  <si>
    <t>24. Do you have any Learning Difficulties e.g. Dyslexia?</t>
  </si>
  <si>
    <t>25. What medication are you taking that you can get over the counter/herbal?</t>
  </si>
  <si>
    <t>26. Are you familiar with your family medical history?</t>
  </si>
  <si>
    <t>27. Are you familiar with your immunisation history?</t>
  </si>
  <si>
    <t>28. [Social History]</t>
  </si>
  <si>
    <t>28a. Is there a Dependent vulnerable adult in your household or one in Adult Protection?</t>
  </si>
  <si>
    <t>28b. Are there any Vulnerable children in your household or ones in Child Protection?</t>
  </si>
  <si>
    <t>28c. Do you have any housing issues?</t>
  </si>
  <si>
    <t>28d. Do you use food banks?</t>
  </si>
  <si>
    <t>28e. Do you live alone?</t>
  </si>
  <si>
    <t>28f. Do you have any pets?</t>
  </si>
  <si>
    <t>28g. Do you have any hobbies?</t>
  </si>
  <si>
    <t>29. [Employment Status (select all that apply)]</t>
  </si>
  <si>
    <t>29a. Are you employed?</t>
  </si>
  <si>
    <t>29e. Are you a student?</t>
  </si>
  <si>
    <t>29f. Are you retired?</t>
  </si>
  <si>
    <t>31. Are you a migrant or refugee?</t>
  </si>
  <si>
    <t>30. Are you a new entrant from or have recently holiday or a history of prolonged (more than 3 months) travel in one of the following countries? (Select all that apply)</t>
  </si>
  <si>
    <t>32. [Gender]</t>
  </si>
  <si>
    <t>33. [Height]</t>
  </si>
  <si>
    <t>34. [Weight]</t>
  </si>
  <si>
    <t>35. [Abdominal Circumference]</t>
  </si>
  <si>
    <t>36. [Body Mass Index]</t>
  </si>
  <si>
    <t>37. [Pulse]</t>
  </si>
  <si>
    <t>38. [Urine]</t>
  </si>
  <si>
    <t>38a. [Sugar]</t>
  </si>
  <si>
    <t>38b. [Protein]</t>
  </si>
  <si>
    <t>38c. [Blood]</t>
  </si>
  <si>
    <t>38d. [Nitrites]</t>
  </si>
  <si>
    <t>38e. [Leukocytes]</t>
  </si>
  <si>
    <t>39. [Bowel Screening]</t>
  </si>
  <si>
    <t>8f. Are you a carer?</t>
  </si>
  <si>
    <t>Answer</t>
  </si>
  <si>
    <t>http://www.fitfortravel.scot.nhs.uk/destinations/asia-(central)/afghanistan.aspx</t>
  </si>
  <si>
    <t>http://www.fitfortravel.scot.nhs.uk/destinations/africa/angola.aspx</t>
  </si>
  <si>
    <t>http://www.fitfortravel.scot.nhs.uk/destinations/asia-(east)/bangladesh.aspx</t>
  </si>
  <si>
    <t>http://www.fitfortravel.scot.nhs.uk/destinations/asia-(east)/bhutan.aspx</t>
  </si>
  <si>
    <t>http://www.fitfortravel.scot.nhs.uk/destinations/africa/botswana.aspx</t>
  </si>
  <si>
    <t>http://www.fitfortravel.scot.nhs.uk/destinations/asia-(east)/cambodia.aspx</t>
  </si>
  <si>
    <t>http://www.fitfortravel.scot.nhs.uk/destinations/africa/cameroon.aspx</t>
  </si>
  <si>
    <t>http://www.fitfortravel.scot.nhs.uk/destinations/africa/central-african-republic.aspx</t>
  </si>
  <si>
    <t>http://www.fitfortravel.scot.nhs.uk/destinations/africa/chad.aspx</t>
  </si>
  <si>
    <t>http://www.fitfortravel.scot.nhs.uk/destinations/africa/congo.aspx</t>
  </si>
  <si>
    <t>http://www.fitfortravel.scot.nhs.uk/destinations/africa/cote-divoire.aspx</t>
  </si>
  <si>
    <t>http://www.fitfortravel.scot.nhs.uk/destinations/africa/democratic-republic-of-congo.aspx</t>
  </si>
  <si>
    <t>http://www.fitfortravel.scot.nhs.uk/destinations/africa/djibouti.aspx</t>
  </si>
  <si>
    <t>http://www.fitfortravel.scot.nhs.uk/destinations/africa/equatorial-guinea.aspx</t>
  </si>
  <si>
    <t>http://www.fitfortravel.scot.nhs.uk/destinations/africa/ethiopia.aspx</t>
  </si>
  <si>
    <t>http://www.fitfortravel.scot.nhs.uk/destinations/africa/eritrea.aspx</t>
  </si>
  <si>
    <t>http://www.fitfortravel.scot.nhs.uk/destinations/africa/gabon.aspx</t>
  </si>
  <si>
    <t>http://www.fitfortravel.scot.nhs.uk/destinations/africa/gambia.aspx</t>
  </si>
  <si>
    <t>http://www.fitfortravel.scot.nhs.uk/destinations/north-america/greenland.aspx</t>
  </si>
  <si>
    <t>http://www.fitfortravel.scot.nhs.uk/destinations/africa/guinea.aspx</t>
  </si>
  <si>
    <t>http://www.fitfortravel.scot.nhs.uk/destinations/africa/guinea-bissau.aspx</t>
  </si>
  <si>
    <t>http://www.fitfortravel.scot.nhs.uk/destinations/asia-(east)/india.aspx</t>
  </si>
  <si>
    <t>http://www.fitfortravel.scot.nhs.uk/destinations/asia-(east)/indonesia.aspx</t>
  </si>
  <si>
    <t>http://www.fitfortravel.scot.nhs.uk/destinations/middle-east/iraq.aspx</t>
  </si>
  <si>
    <t>http://www.fitfortravel.scot.nhs.uk/destinations/caribbean/haiti.aspx</t>
  </si>
  <si>
    <t>http://www.fitfortravel.scot.nhs.uk/destinations/africa/kenya.aspx</t>
  </si>
  <si>
    <t>http://www.fitfortravel.scot.nhs.uk/destinations/asia-(east)/democratic-peoples-republic-of-korea.aspx</t>
  </si>
  <si>
    <t>http://www.fitfortravel.scot.nhs.uk/destinations/asia-(east)/republic-of-korea.aspx</t>
  </si>
  <si>
    <t>http://www.fitfortravel.scot.nhs.uk/destinations/australasia--pacific/kiribati.aspx</t>
  </si>
  <si>
    <t>http://www.fitfortravel.scot.nhs.uk/destinations/asia-(east)/laos.aspx</t>
  </si>
  <si>
    <t>http://www.fitfortravel.scot.nhs.uk/destinations/africa/lesotho.aspx</t>
  </si>
  <si>
    <t>http://www.fitfortravel.scot.nhs.uk/destinations/africa/liberia.aspx</t>
  </si>
  <si>
    <t>http://www.fitfortravel.scot.nhs.uk/destinations/africa/madagascar.aspx</t>
  </si>
  <si>
    <t>http://www.fitfortravel.scot.nhs.uk/destinations/africa/malawi.aspx</t>
  </si>
  <si>
    <t>http://www.fitfortravel.scot.nhs.uk/destinations/australasia--pacific/marshall-islands.aspx</t>
  </si>
  <si>
    <t>http://www.fitfortravel.scot.nhs.uk/destinations/africa/mauritania.aspx</t>
  </si>
  <si>
    <t>http://www.fitfortravel.scot.nhs.uk/destinations/australasia--pacific/federated-states-of-micronesia.aspx</t>
  </si>
  <si>
    <t>http://www.fitfortravel.scot.nhs.uk/destinations/asia-(east)/mongolia.aspx</t>
  </si>
  <si>
    <t>http://www.fitfortravel.scot.nhs.uk/destinations/africa/mozambique.aspx</t>
  </si>
  <si>
    <t>http://www.fitfortravel.scot.nhs.uk/destinations/asia-(east)/myanmar.aspx</t>
  </si>
  <si>
    <t>http://www.fitfortravel.scot.nhs.uk/destinations/africa/namibia.aspx</t>
  </si>
  <si>
    <t>http://www.fitfortravel.scot.nhs.uk/destinations/asia-(east)/nepal.aspx</t>
  </si>
  <si>
    <t>http://www.fitfortravel.scot.nhs.uk/destinations/africa/nigeria.aspx</t>
  </si>
  <si>
    <t>http://www.fitfortravel.scot.nhs.uk/destinations/asia-(central)/pakistan.aspx</t>
  </si>
  <si>
    <t>http://www.fitfortravel.scot.nhs.uk/destinations/australasia--pacific/palau.aspx</t>
  </si>
  <si>
    <t>http://www.fitfortravel.scot.nhs.uk/destinations/australasia--pacific/papua-new-guinea.aspx</t>
  </si>
  <si>
    <t>http://www.fitfortravel.scot.nhs.uk/destinations/asia-(east)/philippines.aspx</t>
  </si>
  <si>
    <t>http://www.fitfortravel.scot.nhs.uk/destinations/europe--russia/republic-of-moldova.aspx</t>
  </si>
  <si>
    <t>http://www.fitfortravel.scot.nhs.uk/destinations/africa/sierra-leone.aspx</t>
  </si>
  <si>
    <t>http://www.fitfortravel.scot.nhs.uk/destinations/africa/somalia.aspx</t>
  </si>
  <si>
    <t>http://www.fitfortravel.scot.nhs.uk/destinations/africa/south-africa.aspx</t>
  </si>
  <si>
    <t>http://www.fitfortravel.scot.nhs.uk/destinations/asia-(east)/sri-lanka.aspx</t>
  </si>
  <si>
    <t>http://www.fitfortravel.scot.nhs.uk/destinations/africa/sudan.aspx</t>
  </si>
  <si>
    <t>http://www.fitfortravel.scot.nhs.uk/destinations/africa/swaziland.aspx</t>
  </si>
  <si>
    <t>http://www.fitfortravel.scot.nhs.uk/destinations/middle-east/syria.aspx</t>
  </si>
  <si>
    <t>http://www.fitfortravel.scot.nhs.uk/destinations/asia-(central)/tajikistan.aspx</t>
  </si>
  <si>
    <t>http://www.fitfortravel.scot.nhs.uk/destinations/africa/united-republic-of-tanzania.aspx</t>
  </si>
  <si>
    <t>http://www.fitfortravel.scot.nhs.uk/destinations/asia-(east)/east-timor.aspx</t>
  </si>
  <si>
    <t>http://www.fitfortravel.scot.nhs.uk/destinations/australasia--pacific/tuvalu.aspx</t>
  </si>
  <si>
    <t>http://www.fitfortravel.scot.nhs.uk/destinations/africa/uganda.aspx</t>
  </si>
  <si>
    <t>http://www.fitfortravel.scot.nhs.uk/destinations/asia-(east)/vietnam.aspx</t>
  </si>
  <si>
    <t>http://www.fitfortravel.scot.nhs.uk/destinations/africa/zambia.aspx</t>
  </si>
  <si>
    <t>http://www.fitfortravel.scot.nhs.uk/destinations/africa/zimbabwe.aspx</t>
  </si>
  <si>
    <t>Websites</t>
  </si>
  <si>
    <t>defunct</t>
  </si>
  <si>
    <t>http://www.publicguardian-scotland.gov.uk/power-of-attorney</t>
  </si>
  <si>
    <t>http://www.gov.scot/resource/doc/1095/0059478.pdf</t>
  </si>
  <si>
    <r>
      <t xml:space="preserve">The Scottish Government have developed a resource, to help support GP practices to provide new patient checks. This resource can be used as an aide-memoir by GP practice staff and is intended to help practices identify individual healthcare needs, ideally within six months of registration, and support the delivery of care appropriate to the identified needs. Use of the resource, or parts of the resource, is </t>
    </r>
    <r>
      <rPr>
        <b/>
        <sz val="10"/>
        <color rgb="FF333333"/>
        <rFont val="Inherit"/>
      </rPr>
      <t>optional.</t>
    </r>
    <r>
      <rPr>
        <sz val="10"/>
        <color rgb="FF333333"/>
        <rFont val="Inherit"/>
      </rPr>
      <t xml:space="preserve"> You may wish to omit sections which are already available or not relevant.The type and content of checks tend to vary a great deal in Scotland, and this resource aims to facilitate a relevant, proportionate and consistent response capturing any individual additional needs. This supplements information that is already available to practices from existing patient records.</t>
    </r>
  </si>
  <si>
    <t>http://www.travax.nhs.uk/destinations/asia-(central)/afghanistan.aspx</t>
  </si>
  <si>
    <t>http://www.travax.nhs.uk/destinations/africa/angola.aspx</t>
  </si>
  <si>
    <t>http://www.travax.nhs.uk/destinations/asia-(east)/bangladesh.aspx</t>
  </si>
  <si>
    <t>http://www.travax.nhs.uk/destinations/asia-(east)/bhutan.aspx</t>
  </si>
  <si>
    <t>http://www.travax.nhs.uk/destinations/africa/botswana.aspx</t>
  </si>
  <si>
    <t>http://www.travax.nhs.uk/destinations/asia-(east)/cambodia.aspx</t>
  </si>
  <si>
    <t>http://www.travax.nhs.uk/destinations/africa/cameroon.aspx</t>
  </si>
  <si>
    <t>http://www.travax.nhs.uk/destinations/africa/central-african-republic.aspx</t>
  </si>
  <si>
    <t>http://www.travax.nhs.uk/destinations/africa/chad.aspx</t>
  </si>
  <si>
    <t>http://www.travax.nhs.uk/destinations/africa/congo.aspx</t>
  </si>
  <si>
    <t>http://www.travax.nhs.uk/destinations/africa/cote-divoire.aspx</t>
  </si>
  <si>
    <t>http://www.travax.nhs.uk/destinations/africa/democratic-republic-of-congo.aspx</t>
  </si>
  <si>
    <t>http://www.travax.nhs.uk/destinations/africa/djibouti.aspx</t>
  </si>
  <si>
    <t>http://www.travax.nhs.uk/destinations/africa/equatorial-guinea.aspx</t>
  </si>
  <si>
    <t>http://www.travax.nhs.uk/destinations/africa/eritrea.aspx</t>
  </si>
  <si>
    <t>http://www.travax.nhs.uk/destinations/africa/ethiopia.aspx</t>
  </si>
  <si>
    <t>http://www.travax.nhs.uk/destinations/africa/gabon.aspx</t>
  </si>
  <si>
    <t>http://www.travax.nhs.uk/destinations/africa/gambia.aspx</t>
  </si>
  <si>
    <t>http://www.travax.nhs.uk/destinations/north-america/greenland.aspx</t>
  </si>
  <si>
    <t>http://www.travax.nhs.uk/destinations/africa/guinea.aspx</t>
  </si>
  <si>
    <t>http://www.travax.nhs.uk/destinations/africa/guinea-bissau.aspx</t>
  </si>
  <si>
    <t>http://www.travax.nhs.uk/destinations/asia-(east)/india.aspx</t>
  </si>
  <si>
    <t>http://www.travax.nhs.uk/destinations/asia-(east)/indonesia.aspx</t>
  </si>
  <si>
    <t>http://www.travax.nhs.uk/destinations/middle-east/iraq.aspx</t>
  </si>
  <si>
    <t>http://www.travax.nhs.uk/destinations/caribbean/haiti.aspx</t>
  </si>
  <si>
    <t>http://www.travax.nhs.uk/destinations/africa/kenya.aspx</t>
  </si>
  <si>
    <t>http://www.travax.nhs.uk/destinations/asia-(east)/republic-of-korea.aspx</t>
  </si>
  <si>
    <t>http://www.travax.nhs.uk/destinations/asia-(east)/democratic-peoples-republic-of-korea.aspx</t>
  </si>
  <si>
    <t>http://www.travax.nhs.uk/destinations/australasia-and-pacific/kiribati.aspx</t>
  </si>
  <si>
    <t>http://www.travax.nhs.uk/destinations/asia-(east)/laos.aspx</t>
  </si>
  <si>
    <t>http://www.travax.nhs.uk/destinations/africa/lesotho.aspx</t>
  </si>
  <si>
    <t>http://www.travax.nhs.uk/destinations/africa/liberia.aspx</t>
  </si>
  <si>
    <t>http://www.travax.nhs.uk/destinations/africa/madagascar.aspx</t>
  </si>
  <si>
    <t>http://www.travax.nhs.uk/destinations/africa/malawi.aspx</t>
  </si>
  <si>
    <t>http://www.travax.nhs.uk/destinations/australasia-and-pacific/marshall-islands.aspx</t>
  </si>
  <si>
    <t>http://www.travax.nhs.uk/destinations/africa/mauritania.aspx</t>
  </si>
  <si>
    <t>http://www.travax.nhs.uk/destinations/australasia-and-pacific/federated-states-of-micronesia.aspx</t>
  </si>
  <si>
    <t>http://www.travax.nhs.uk/destinations/asia-(east)/mongolia.aspx</t>
  </si>
  <si>
    <t>http://www.travax.nhs.uk/destinations/africa/mozambique.aspx</t>
  </si>
  <si>
    <t>http://www.travax.nhs.uk/destinations/asia-(east)/myanmar.aspx</t>
  </si>
  <si>
    <t>http://www.travax.nhs.uk/destinations/africa/namibia.aspx</t>
  </si>
  <si>
    <t>http://www.travax.nhs.uk/destinations/asia-(east)/nepal.aspx</t>
  </si>
  <si>
    <t>http://www.travax.nhs.uk/destinations/africa/nigeria.aspx</t>
  </si>
  <si>
    <t>http://www.travax.nhs.uk/destinations/asia-(central)/pakistan.aspx</t>
  </si>
  <si>
    <t>http://www.travax.nhs.uk/destinations/australasia-and-pacific/palau.aspx</t>
  </si>
  <si>
    <t>http://www.travax.nhs.uk/destinations/australasia-and-pacific/papua-new-guinea.aspx</t>
  </si>
  <si>
    <t>http://www.travax.nhs.uk/destinations/asia-(east)/philippines.aspx</t>
  </si>
  <si>
    <t>http://www.travax.nhs.uk/destinations/europe-and-russia/republic-of-moldova.aspx</t>
  </si>
  <si>
    <t>http://www.travax.nhs.uk/destinations/africa/sierra-leone.aspx</t>
  </si>
  <si>
    <t>http://www.travax.nhs.uk/destinations/africa/somalia.aspx</t>
  </si>
  <si>
    <t>http://www.travax.nhs.uk/destinations/africa/south-africa.aspx</t>
  </si>
  <si>
    <t>http://www.travax.nhs.uk/destinations/asia-(east)/sri-lanka.aspx</t>
  </si>
  <si>
    <t>http://www.travax.nhs.uk/destinations/africa/sudan.aspx</t>
  </si>
  <si>
    <t>http://www.travax.nhs.uk/destinations/africa/swaziland.aspx</t>
  </si>
  <si>
    <t>http://www.travax.nhs.uk/destinations/middle-east/syria.aspx</t>
  </si>
  <si>
    <t>http://www.travax.nhs.uk/destinations/asia-(central)/tajikistan.aspx</t>
  </si>
  <si>
    <t>http://www.travax.nhs.uk/destinations/africa/united-republic-of-tanzania.aspx</t>
  </si>
  <si>
    <t>http://www.travax.nhs.uk/destinations/asia-(east)/east-timor.aspx</t>
  </si>
  <si>
    <t>http://www.travax.nhs.uk/destinations/australasia-and-pacific/tuvalu.aspx</t>
  </si>
  <si>
    <t>http://www.travax.nhs.uk/destinations/africa/uganda.aspx</t>
  </si>
  <si>
    <t>http://www.travax.nhs.uk/destinations/asia-(east)/vietnam.aspx</t>
  </si>
  <si>
    <t>http://www.travax.nhs.uk/destinations/africa/zambia.aspx</t>
  </si>
  <si>
    <t>http://www.travax.nhs.uk/destinations/africa/zimbabwe.aspx</t>
  </si>
  <si>
    <t>14. Are you currently injecting drugs?</t>
  </si>
  <si>
    <t>Health</t>
  </si>
  <si>
    <t>40. Have you ever had an of the following devices implanted?</t>
  </si>
  <si>
    <t>40.a Cardiac device</t>
  </si>
  <si>
    <t>40.b Orthopaedic device</t>
  </si>
  <si>
    <t>40.c Uterine device</t>
  </si>
  <si>
    <t>40.d Ophthalmology device</t>
  </si>
  <si>
    <t>40.e Breast implants</t>
  </si>
  <si>
    <t>40.f Other implants</t>
  </si>
  <si>
    <t>Pacemaker</t>
  </si>
  <si>
    <t>Hip replacement</t>
  </si>
  <si>
    <t>Knee replacement</t>
  </si>
  <si>
    <t>Shoulder replacement</t>
  </si>
  <si>
    <t>Pins</t>
  </si>
  <si>
    <t>Plates</t>
  </si>
  <si>
    <t>Screws</t>
  </si>
  <si>
    <t>Vaginal mesh</t>
  </si>
  <si>
    <t>Other uterine mesh</t>
  </si>
  <si>
    <t>Intraocular lenses</t>
  </si>
  <si>
    <t>Scleral Implants</t>
  </si>
  <si>
    <t>Corneal Implants</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</si>
</sst>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0"/>
      <color theme="1"/>
      <name val="Arial"/>
      <family val="2"/>
    </font>
    <font>
      <sz val="10"/>
      <color rgb="FF333333"/>
      <name val="Inherit"/>
    </font>
    <font>
      <sz val="8"/>
      <color rgb="FF333333"/>
      <name val="Inherit"/>
    </font>
    <font>
      <sz val="22"/>
      <color rgb="FF104589"/>
      <name val="Open Sans"/>
    </font>
    <font>
      <b/>
      <sz val="10"/>
      <color rgb="FF333333"/>
      <name val="Inherit"/>
    </font>
    <font>
      <sz val="10"/>
      <color theme="1"/>
      <name val="Calibri"/>
      <family val="2"/>
      <scheme val="minor"/>
    </font>
    <font>
      <sz val="10"/>
      <color rgb="FF333333"/>
      <name val="Calibri"/>
      <family val="2"/>
      <scheme val="minor"/>
    </font>
    <font>
      <sz val="10"/>
      <color rgb="FF000000"/>
      <name val="Arial"/>
      <family val="2"/>
    </font>
    <font>
      <b/>
      <sz val="10"/>
      <color rgb="FF333333"/>
      <name val="Calibri"/>
      <family val="2"/>
      <scheme val="minor"/>
    </font>
    <font>
      <u/>
      <sz val="10"/>
      <color theme="10"/>
      <name val="Arial"/>
      <family val="2"/>
    </font>
    <font>
      <sz val="10"/>
      <name val="Calibri"/>
      <family val="2"/>
      <scheme val="minor"/>
    </font>
    <font>
      <u/>
      <sz val="10"/>
      <name val="Arial"/>
      <family val="2"/>
    </font>
    <font>
      <sz val="9"/>
      <color indexed="81"/>
      <name val="Tahoma"/>
      <family val="2"/>
    </font>
    <font>
      <b/>
      <sz val="9"/>
      <color indexed="81"/>
      <name val="Tahoma"/>
      <family val="2"/>
    </font>
    <font>
      <b/>
      <sz val="10"/>
      <name val="Calibri"/>
      <family val="2"/>
      <scheme val="minor"/>
    </font>
    <font>
      <sz val="10"/>
      <color theme="4" tint="0.79998168889431442"/>
      <name val="Calibri"/>
      <family val="2"/>
      <scheme val="minor"/>
    </font>
    <font>
      <b/>
      <sz val="10"/>
      <color theme="0"/>
      <name val="Arial"/>
      <family val="2"/>
    </font>
    <font>
      <sz val="10"/>
      <color theme="0"/>
      <name val="Calibri"/>
      <family val="2"/>
      <scheme val="minor"/>
    </font>
    <font>
      <u/>
      <sz val="10"/>
      <color theme="0"/>
      <name val="Arial"/>
      <family val="2"/>
    </font>
    <font>
      <sz val="10"/>
      <color theme="0"/>
      <name val="Arial"/>
      <family val="2"/>
    </font>
    <font>
      <b/>
      <sz val="10"/>
      <color theme="1"/>
      <name val="Calibri"/>
      <family val="2"/>
      <scheme val="minor"/>
    </font>
    <font>
      <b/>
      <sz val="12"/>
      <color theme="0"/>
      <name val="Calibri"/>
      <family val="2"/>
      <scheme val="minor"/>
    </font>
    <font>
      <sz val="12"/>
      <color rgb="FF993366"/>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499984740745262"/>
        <bgColor indexed="64"/>
      </patternFill>
    </fill>
    <fill>
      <patternFill patternType="solid">
        <fgColor theme="4" tint="0.79998168889431442"/>
        <bgColor indexed="64"/>
      </patternFill>
    </fill>
  </fills>
  <borders count="59">
    <border>
      <left/>
      <right/>
      <top/>
      <bottom/>
      <diagonal/>
    </border>
    <border>
      <left style="medium">
        <color rgb="FF00A2E5"/>
      </left>
      <right style="medium">
        <color rgb="FF00A2E5"/>
      </right>
      <top style="medium">
        <color rgb="FF00A2E5"/>
      </top>
      <bottom style="medium">
        <color rgb="FF00A2E5"/>
      </bottom>
      <diagonal/>
    </border>
    <border>
      <left style="medium">
        <color rgb="FF00A2E5"/>
      </left>
      <right style="medium">
        <color rgb="FF00A2E5"/>
      </right>
      <top style="medium">
        <color rgb="FF00A2E5"/>
      </top>
      <bottom/>
      <diagonal/>
    </border>
    <border>
      <left style="medium">
        <color rgb="FF00A2E5"/>
      </left>
      <right style="medium">
        <color rgb="FF00A2E5"/>
      </right>
      <top/>
      <bottom/>
      <diagonal/>
    </border>
    <border>
      <left style="medium">
        <color rgb="FFE0DDDD"/>
      </left>
      <right style="medium">
        <color rgb="FF00A2E5"/>
      </right>
      <top style="medium">
        <color rgb="FF00A2E5"/>
      </top>
      <bottom/>
      <diagonal/>
    </border>
    <border>
      <left style="medium">
        <color rgb="FFE0DDDD"/>
      </left>
      <right style="medium">
        <color rgb="FF00A2E5"/>
      </right>
      <top/>
      <bottom/>
      <diagonal/>
    </border>
    <border>
      <left/>
      <right style="medium">
        <color rgb="FF00A2E5"/>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A2E5"/>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A2E5"/>
      </left>
      <right/>
      <top style="medium">
        <color rgb="FF00A2E5"/>
      </top>
      <bottom style="medium">
        <color rgb="FF00A2E5"/>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79">
    <xf numFmtId="0" fontId="0" fillId="0" borderId="0" xfId="0"/>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6" xfId="0" applyFont="1" applyFill="1" applyBorder="1" applyAlignment="1">
      <alignment vertical="center" wrapText="1"/>
    </xf>
    <xf numFmtId="0" fontId="0" fillId="0" borderId="7" xfId="0" applyBorder="1"/>
    <xf numFmtId="0" fontId="0" fillId="0" borderId="8" xfId="0" applyBorder="1"/>
    <xf numFmtId="0" fontId="2" fillId="0" borderId="5" xfId="0" applyFont="1" applyFill="1" applyBorder="1" applyAlignment="1">
      <alignmen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0" fillId="2" borderId="34" xfId="0" applyFill="1" applyBorder="1" applyAlignment="1">
      <alignment wrapText="1"/>
    </xf>
    <xf numFmtId="0" fontId="0" fillId="2" borderId="49" xfId="0" applyFill="1" applyBorder="1" applyAlignment="1">
      <alignment wrapText="1"/>
    </xf>
    <xf numFmtId="0" fontId="2" fillId="0" borderId="52" xfId="0" applyFont="1" applyBorder="1" applyAlignment="1">
      <alignment horizontal="left" vertical="center" wrapText="1"/>
    </xf>
    <xf numFmtId="0" fontId="0" fillId="0" borderId="0" xfId="0" applyAlignment="1">
      <alignment vertical="top"/>
    </xf>
    <xf numFmtId="0" fontId="0" fillId="0" borderId="0" xfId="0" applyAlignment="1">
      <alignment horizontal="left" vertical="top" indent="1"/>
    </xf>
    <xf numFmtId="0" fontId="3" fillId="0" borderId="0" xfId="0" applyFont="1" applyAlignment="1">
      <alignment horizontal="left" vertical="top" wrapText="1" indent="1"/>
    </xf>
    <xf numFmtId="0" fontId="1" fillId="0" borderId="0" xfId="0" applyFont="1" applyAlignment="1">
      <alignment horizontal="left" vertical="top" wrapText="1" indent="1"/>
    </xf>
    <xf numFmtId="0" fontId="0" fillId="0" borderId="0" xfId="0" applyAlignment="1">
      <alignment vertical="top" wrapText="1"/>
    </xf>
    <xf numFmtId="0" fontId="11" fillId="2" borderId="26" xfId="1" applyFont="1" applyFill="1" applyBorder="1" applyAlignment="1" applyProtection="1">
      <alignment vertical="top" wrapText="1"/>
    </xf>
    <xf numFmtId="0" fontId="10" fillId="2" borderId="27" xfId="0" applyFont="1" applyFill="1" applyBorder="1" applyAlignment="1" applyProtection="1">
      <alignment vertical="top" wrapText="1"/>
    </xf>
    <xf numFmtId="0" fontId="11" fillId="2" borderId="38" xfId="1" applyFont="1" applyFill="1" applyBorder="1" applyAlignment="1" applyProtection="1">
      <alignment vertical="top" wrapText="1"/>
    </xf>
    <xf numFmtId="0" fontId="10" fillId="2" borderId="39" xfId="0" applyFont="1" applyFill="1" applyBorder="1" applyAlignment="1" applyProtection="1">
      <alignment vertical="top" wrapText="1"/>
    </xf>
    <xf numFmtId="0" fontId="8" fillId="3" borderId="7" xfId="0" applyFont="1" applyFill="1" applyBorder="1" applyAlignment="1">
      <alignment horizontal="left" vertical="top" wrapText="1" indent="1"/>
    </xf>
    <xf numFmtId="0" fontId="8" fillId="4" borderId="10" xfId="0" applyFont="1" applyFill="1" applyBorder="1" applyAlignment="1">
      <alignment horizontal="left" vertical="top" wrapText="1" indent="1"/>
    </xf>
    <xf numFmtId="0" fontId="8" fillId="3" borderId="10" xfId="0" applyFont="1" applyFill="1" applyBorder="1" applyAlignment="1">
      <alignment horizontal="left" vertical="top" wrapText="1" indent="1"/>
    </xf>
    <xf numFmtId="0" fontId="14" fillId="3" borderId="7" xfId="0" applyFont="1" applyFill="1" applyBorder="1" applyAlignment="1">
      <alignment horizontal="left" vertical="top" wrapText="1" indent="1"/>
    </xf>
    <xf numFmtId="0" fontId="8" fillId="3" borderId="57" xfId="0" applyFont="1" applyFill="1" applyBorder="1" applyAlignment="1">
      <alignment horizontal="left" vertical="top" wrapText="1" indent="1"/>
    </xf>
    <xf numFmtId="0" fontId="0" fillId="2" borderId="0" xfId="0" applyFill="1"/>
    <xf numFmtId="0" fontId="6" fillId="2" borderId="19" xfId="0" applyFont="1" applyFill="1" applyBorder="1" applyAlignment="1" applyProtection="1">
      <alignment vertical="top" wrapText="1"/>
      <protection locked="0"/>
    </xf>
    <xf numFmtId="0" fontId="6" fillId="2" borderId="21" xfId="0" applyFont="1" applyFill="1" applyBorder="1" applyAlignment="1" applyProtection="1">
      <alignment vertical="top" wrapText="1"/>
      <protection locked="0"/>
    </xf>
    <xf numFmtId="0" fontId="6" fillId="2" borderId="54" xfId="0" applyFont="1" applyFill="1" applyBorder="1" applyAlignment="1" applyProtection="1">
      <alignment vertical="top" wrapText="1"/>
      <protection locked="0"/>
    </xf>
    <xf numFmtId="0" fontId="6" fillId="2" borderId="30" xfId="0" applyFont="1" applyFill="1" applyBorder="1" applyAlignment="1" applyProtection="1">
      <alignment vertical="top" wrapText="1"/>
      <protection locked="0"/>
    </xf>
    <xf numFmtId="0" fontId="5" fillId="2" borderId="31" xfId="0" applyFont="1" applyFill="1" applyBorder="1" applyAlignment="1" applyProtection="1">
      <alignment vertical="top" wrapText="1"/>
      <protection locked="0"/>
    </xf>
    <xf numFmtId="0" fontId="6" fillId="2" borderId="33" xfId="0" applyFont="1" applyFill="1" applyBorder="1" applyAlignment="1" applyProtection="1">
      <alignment vertical="top" wrapText="1"/>
      <protection locked="0"/>
    </xf>
    <xf numFmtId="0" fontId="5" fillId="2" borderId="43" xfId="0" applyFont="1" applyFill="1" applyBorder="1" applyAlignment="1" applyProtection="1">
      <alignment vertical="top" wrapText="1"/>
      <protection locked="0"/>
    </xf>
    <xf numFmtId="0" fontId="5" fillId="2" borderId="24" xfId="0" applyFont="1" applyFill="1" applyBorder="1" applyAlignment="1" applyProtection="1">
      <alignment vertical="top" wrapText="1"/>
      <protection locked="0"/>
    </xf>
    <xf numFmtId="0" fontId="6" fillId="2" borderId="40" xfId="0" applyFont="1" applyFill="1" applyBorder="1" applyAlignment="1" applyProtection="1">
      <alignment vertical="top" wrapText="1"/>
      <protection locked="0"/>
    </xf>
    <xf numFmtId="0" fontId="6" fillId="2" borderId="27" xfId="0" applyFont="1" applyFill="1" applyBorder="1" applyAlignment="1" applyProtection="1">
      <alignment vertical="top" wrapText="1"/>
      <protection locked="0"/>
    </xf>
    <xf numFmtId="0" fontId="6" fillId="2" borderId="41" xfId="0" applyFont="1" applyFill="1" applyBorder="1" applyAlignment="1" applyProtection="1">
      <alignment vertical="top" wrapText="1"/>
      <protection locked="0"/>
    </xf>
    <xf numFmtId="0" fontId="6" fillId="2" borderId="39" xfId="0" applyFont="1" applyFill="1" applyBorder="1" applyAlignment="1" applyProtection="1">
      <alignment vertical="top" wrapText="1"/>
      <protection locked="0"/>
    </xf>
    <xf numFmtId="0" fontId="6" fillId="2" borderId="43" xfId="0" applyFont="1" applyFill="1" applyBorder="1" applyAlignment="1" applyProtection="1">
      <alignment vertical="top" wrapText="1"/>
      <protection locked="0"/>
    </xf>
    <xf numFmtId="0" fontId="6" fillId="2" borderId="45" xfId="0" applyFont="1" applyFill="1" applyBorder="1" applyAlignment="1" applyProtection="1">
      <alignment vertical="top" wrapText="1"/>
      <protection locked="0"/>
    </xf>
    <xf numFmtId="0" fontId="6" fillId="2" borderId="46"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5" fillId="2" borderId="40" xfId="0" applyFont="1" applyFill="1" applyBorder="1" applyAlignment="1" applyProtection="1">
      <alignment vertical="top" wrapText="1"/>
      <protection locked="0"/>
    </xf>
    <xf numFmtId="0" fontId="5" fillId="2" borderId="41"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15" fillId="2" borderId="25" xfId="0" applyFont="1" applyFill="1" applyBorder="1" applyAlignment="1" applyProtection="1">
      <alignment vertical="top" wrapText="1"/>
      <protection locked="0"/>
    </xf>
    <xf numFmtId="0" fontId="15" fillId="2" borderId="40" xfId="0" applyFont="1" applyFill="1" applyBorder="1" applyAlignment="1" applyProtection="1">
      <alignment vertical="top" wrapText="1"/>
      <protection locked="0"/>
    </xf>
    <xf numFmtId="0" fontId="15" fillId="2" borderId="15" xfId="0" applyFont="1" applyFill="1" applyBorder="1" applyAlignment="1" applyProtection="1">
      <alignment vertical="top" wrapText="1"/>
      <protection locked="0"/>
    </xf>
    <xf numFmtId="0" fontId="15" fillId="2" borderId="37" xfId="0" applyFont="1" applyFill="1" applyBorder="1" applyAlignment="1" applyProtection="1">
      <alignment vertical="top" wrapText="1"/>
      <protection locked="0"/>
    </xf>
    <xf numFmtId="0" fontId="16" fillId="5" borderId="19" xfId="0" applyFont="1" applyFill="1" applyBorder="1" applyAlignment="1">
      <alignment horizontal="left" vertical="top" indent="1"/>
    </xf>
    <xf numFmtId="0" fontId="16" fillId="5" borderId="21" xfId="0" applyFont="1" applyFill="1" applyBorder="1" applyAlignment="1" applyProtection="1">
      <alignment vertical="top"/>
      <protection locked="0"/>
    </xf>
    <xf numFmtId="0" fontId="16" fillId="5" borderId="19" xfId="0" applyFont="1" applyFill="1" applyBorder="1" applyAlignment="1">
      <alignment vertical="top"/>
    </xf>
    <xf numFmtId="0" fontId="8" fillId="2" borderId="10" xfId="0" applyFont="1" applyFill="1" applyBorder="1" applyAlignment="1">
      <alignment horizontal="left" vertical="top" wrapText="1" indent="1"/>
    </xf>
    <xf numFmtId="0" fontId="8" fillId="2" borderId="57" xfId="0" applyFont="1" applyFill="1" applyBorder="1" applyAlignment="1">
      <alignment horizontal="left" vertical="top" wrapText="1" indent="1"/>
    </xf>
    <xf numFmtId="0" fontId="8" fillId="3" borderId="57" xfId="0" applyFont="1" applyFill="1" applyBorder="1" applyAlignment="1">
      <alignment horizontal="left" vertical="top" wrapText="1" indent="2"/>
    </xf>
    <xf numFmtId="0" fontId="8" fillId="3" borderId="56" xfId="0" applyFont="1" applyFill="1" applyBorder="1" applyAlignment="1">
      <alignment horizontal="left" vertical="top" wrapText="1" indent="2"/>
    </xf>
    <xf numFmtId="0" fontId="8" fillId="3" borderId="8" xfId="0" applyFont="1" applyFill="1" applyBorder="1" applyAlignment="1">
      <alignment horizontal="left" vertical="top" wrapText="1" indent="2"/>
    </xf>
    <xf numFmtId="0" fontId="8" fillId="2" borderId="56" xfId="0" applyFont="1" applyFill="1" applyBorder="1" applyAlignment="1">
      <alignment horizontal="left" vertical="top" wrapText="1" indent="2"/>
    </xf>
    <xf numFmtId="0" fontId="8" fillId="2" borderId="58" xfId="0" applyFont="1" applyFill="1" applyBorder="1" applyAlignment="1">
      <alignment horizontal="left" vertical="top" wrapText="1" indent="2"/>
    </xf>
    <xf numFmtId="0" fontId="8" fillId="2" borderId="8" xfId="0" applyFont="1" applyFill="1" applyBorder="1" applyAlignment="1">
      <alignment horizontal="left" vertical="top" wrapText="1" indent="2"/>
    </xf>
    <xf numFmtId="0" fontId="8" fillId="2" borderId="55" xfId="0" applyFont="1" applyFill="1" applyBorder="1" applyAlignment="1">
      <alignment vertical="top" wrapText="1"/>
    </xf>
    <xf numFmtId="0" fontId="8" fillId="2" borderId="49" xfId="0" applyFont="1" applyFill="1" applyBorder="1" applyAlignment="1">
      <alignment vertical="top" wrapText="1"/>
    </xf>
    <xf numFmtId="0" fontId="8" fillId="2" borderId="10" xfId="0" applyFont="1" applyFill="1" applyBorder="1" applyAlignment="1">
      <alignment vertical="top" wrapText="1"/>
    </xf>
    <xf numFmtId="0" fontId="19" fillId="5" borderId="21" xfId="0" applyFont="1" applyFill="1" applyBorder="1" applyAlignment="1" applyProtection="1">
      <alignment vertical="top"/>
      <protection locked="0"/>
    </xf>
    <xf numFmtId="0" fontId="20" fillId="2" borderId="53" xfId="0" applyFont="1" applyFill="1" applyBorder="1" applyAlignment="1">
      <alignment vertical="top" wrapText="1"/>
    </xf>
    <xf numFmtId="0" fontId="8" fillId="2" borderId="34" xfId="0" applyFont="1" applyFill="1" applyBorder="1" applyAlignment="1">
      <alignment vertical="top" wrapText="1"/>
    </xf>
    <xf numFmtId="0" fontId="8" fillId="2" borderId="47" xfId="0" applyFont="1" applyFill="1" applyBorder="1" applyAlignment="1">
      <alignment vertical="top" wrapText="1"/>
    </xf>
    <xf numFmtId="0" fontId="8" fillId="2" borderId="48" xfId="0" applyFont="1" applyFill="1" applyBorder="1" applyAlignment="1">
      <alignment vertical="top" wrapText="1"/>
    </xf>
    <xf numFmtId="0" fontId="8" fillId="3" borderId="56" xfId="0" applyFont="1" applyFill="1" applyBorder="1" applyAlignment="1">
      <alignment horizontal="left" vertical="top" wrapText="1" indent="3"/>
    </xf>
    <xf numFmtId="0" fontId="8" fillId="3" borderId="56" xfId="0" applyFont="1" applyFill="1" applyBorder="1" applyAlignment="1">
      <alignment horizontal="left" vertical="top" wrapText="1" indent="4"/>
    </xf>
    <xf numFmtId="0" fontId="8" fillId="3" borderId="8" xfId="0" applyFont="1" applyFill="1" applyBorder="1" applyAlignment="1">
      <alignment horizontal="left" vertical="top" wrapText="1" indent="3"/>
    </xf>
    <xf numFmtId="0" fontId="8" fillId="2" borderId="51" xfId="0" applyFont="1" applyFill="1" applyBorder="1" applyAlignment="1">
      <alignment vertical="top" wrapText="1"/>
    </xf>
    <xf numFmtId="0" fontId="8" fillId="2" borderId="56" xfId="0" applyFont="1" applyFill="1" applyBorder="1" applyAlignment="1">
      <alignment horizontal="left" vertical="top" wrapText="1" indent="3"/>
    </xf>
    <xf numFmtId="0" fontId="8" fillId="2" borderId="50" xfId="0" applyFont="1" applyFill="1" applyBorder="1" applyAlignment="1">
      <alignment vertical="top" wrapText="1"/>
    </xf>
    <xf numFmtId="0" fontId="5" fillId="2" borderId="29" xfId="0" applyFont="1" applyFill="1" applyBorder="1" applyAlignment="1" applyProtection="1">
      <alignment vertical="top" wrapText="1"/>
      <protection locked="0"/>
    </xf>
    <xf numFmtId="0" fontId="5" fillId="2" borderId="30" xfId="0" applyFont="1" applyFill="1" applyBorder="1" applyAlignment="1" applyProtection="1">
      <alignment vertical="top" wrapText="1"/>
      <protection locked="0"/>
    </xf>
    <xf numFmtId="0" fontId="5" fillId="2" borderId="17" xfId="0" applyFont="1" applyFill="1" applyBorder="1" applyAlignment="1" applyProtection="1">
      <alignment vertical="top" wrapText="1"/>
      <protection locked="0"/>
    </xf>
    <xf numFmtId="0" fontId="5" fillId="2" borderId="18" xfId="0" applyFont="1" applyFill="1" applyBorder="1" applyAlignment="1" applyProtection="1">
      <alignment vertical="top" wrapText="1"/>
      <protection locked="0"/>
    </xf>
    <xf numFmtId="0" fontId="8" fillId="2" borderId="7" xfId="0" applyFont="1" applyFill="1" applyBorder="1" applyAlignment="1">
      <alignment horizontal="left" vertical="top" wrapText="1" indent="1"/>
    </xf>
    <xf numFmtId="0" fontId="22" fillId="0" borderId="0" xfId="0" applyFont="1" applyAlignment="1">
      <alignment vertical="center"/>
    </xf>
    <xf numFmtId="0" fontId="22" fillId="0" borderId="0" xfId="0" applyFont="1"/>
    <xf numFmtId="0" fontId="5" fillId="2" borderId="29" xfId="0" applyFont="1" applyFill="1" applyBorder="1" applyAlignment="1" applyProtection="1">
      <alignment vertical="top" wrapText="1"/>
    </xf>
    <xf numFmtId="0" fontId="5" fillId="2" borderId="17" xfId="0" applyFont="1" applyFill="1" applyBorder="1" applyAlignment="1" applyProtection="1">
      <alignment vertical="top" wrapText="1"/>
    </xf>
    <xf numFmtId="0" fontId="8" fillId="3" borderId="56" xfId="0" applyFont="1" applyFill="1" applyBorder="1" applyAlignment="1" applyProtection="1">
      <alignment horizontal="left" vertical="top" wrapText="1" indent="2"/>
    </xf>
    <xf numFmtId="0" fontId="8" fillId="3" borderId="8" xfId="0" applyFont="1" applyFill="1" applyBorder="1" applyAlignment="1" applyProtection="1">
      <alignment horizontal="left" vertical="top" wrapText="1" indent="2"/>
    </xf>
    <xf numFmtId="0" fontId="8" fillId="3" borderId="57" xfId="0" applyFont="1" applyFill="1" applyBorder="1" applyAlignment="1" applyProtection="1">
      <alignment horizontal="left" vertical="top" wrapText="1" indent="1"/>
    </xf>
    <xf numFmtId="0" fontId="5" fillId="2" borderId="23" xfId="0" applyFont="1" applyFill="1" applyBorder="1" applyAlignment="1" applyProtection="1">
      <alignment horizontal="center" vertical="top" wrapText="1"/>
    </xf>
    <xf numFmtId="0" fontId="5" fillId="2" borderId="24" xfId="0" applyFont="1" applyFill="1" applyBorder="1" applyAlignment="1" applyProtection="1">
      <alignment horizontal="center" vertical="top" wrapText="1"/>
    </xf>
    <xf numFmtId="0" fontId="8" fillId="6" borderId="19" xfId="0" applyFont="1" applyFill="1" applyBorder="1" applyAlignment="1">
      <alignment horizontal="center" vertical="top" wrapText="1"/>
    </xf>
    <xf numFmtId="0" fontId="8" fillId="6" borderId="20" xfId="0" applyFont="1" applyFill="1" applyBorder="1" applyAlignment="1">
      <alignment horizontal="center" vertical="top" wrapText="1"/>
    </xf>
    <xf numFmtId="0" fontId="8" fillId="6" borderId="21" xfId="0" applyFont="1" applyFill="1" applyBorder="1" applyAlignment="1">
      <alignment horizontal="center" vertical="top" wrapText="1"/>
    </xf>
    <xf numFmtId="0" fontId="21" fillId="5" borderId="19" xfId="0" applyFont="1" applyFill="1" applyBorder="1" applyAlignment="1">
      <alignment horizontal="center" vertical="top" wrapText="1"/>
    </xf>
    <xf numFmtId="0" fontId="21" fillId="5" borderId="20" xfId="0" applyFont="1" applyFill="1" applyBorder="1" applyAlignment="1">
      <alignment horizontal="center" vertical="top" wrapText="1"/>
    </xf>
    <xf numFmtId="0" fontId="21" fillId="5" borderId="21" xfId="0" applyFont="1" applyFill="1" applyBorder="1" applyAlignment="1">
      <alignment horizontal="center" vertical="top" wrapText="1"/>
    </xf>
    <xf numFmtId="0" fontId="1" fillId="0" borderId="0" xfId="0" applyFont="1" applyAlignment="1">
      <alignment horizontal="left" vertical="top" wrapText="1"/>
    </xf>
    <xf numFmtId="0" fontId="18" fillId="2" borderId="26" xfId="1" applyFont="1" applyFill="1" applyBorder="1" applyAlignment="1" applyProtection="1">
      <alignment horizontal="center" vertical="top" wrapText="1"/>
      <protection locked="0"/>
    </xf>
    <xf numFmtId="0" fontId="17" fillId="2" borderId="27" xfId="0" applyFont="1" applyFill="1" applyBorder="1" applyAlignment="1" applyProtection="1">
      <alignment horizontal="center" vertical="top" wrapText="1"/>
      <protection locked="0"/>
    </xf>
    <xf numFmtId="0" fontId="18" fillId="2" borderId="20" xfId="1" applyFont="1" applyFill="1" applyBorder="1" applyAlignment="1" applyProtection="1">
      <alignment horizontal="center" vertical="top" wrapText="1"/>
      <protection locked="0"/>
    </xf>
    <xf numFmtId="0" fontId="17" fillId="2" borderId="21" xfId="0" applyFont="1" applyFill="1" applyBorder="1" applyAlignment="1" applyProtection="1">
      <alignment horizontal="center" vertical="top" wrapText="1"/>
      <protection locked="0"/>
    </xf>
    <xf numFmtId="0" fontId="18" fillId="2" borderId="38" xfId="1" applyFont="1" applyFill="1" applyBorder="1" applyAlignment="1" applyProtection="1">
      <alignment horizontal="center" vertical="top" wrapText="1"/>
      <protection locked="0"/>
    </xf>
    <xf numFmtId="0" fontId="17" fillId="2" borderId="39" xfId="0" applyFont="1" applyFill="1" applyBorder="1" applyAlignment="1" applyProtection="1">
      <alignment horizontal="center" vertical="top" wrapText="1"/>
      <protection locked="0"/>
    </xf>
    <xf numFmtId="0" fontId="6" fillId="2" borderId="19" xfId="0" applyFont="1" applyFill="1" applyBorder="1" applyAlignment="1" applyProtection="1">
      <alignment vertical="top" wrapText="1"/>
      <protection locked="0"/>
    </xf>
    <xf numFmtId="0" fontId="6" fillId="2" borderId="20" xfId="0" applyFont="1" applyFill="1" applyBorder="1" applyAlignment="1" applyProtection="1">
      <alignment vertical="top" wrapText="1"/>
      <protection locked="0"/>
    </xf>
    <xf numFmtId="0" fontId="6" fillId="2" borderId="21" xfId="0" applyFont="1" applyFill="1" applyBorder="1" applyAlignment="1" applyProtection="1">
      <alignment vertical="top" wrapText="1"/>
      <protection locked="0"/>
    </xf>
    <xf numFmtId="0" fontId="6" fillId="2" borderId="36" xfId="0" applyFont="1" applyFill="1" applyBorder="1" applyAlignment="1" applyProtection="1">
      <alignment vertical="top" wrapText="1"/>
      <protection locked="0"/>
    </xf>
    <xf numFmtId="0" fontId="5" fillId="2" borderId="28" xfId="0" applyFont="1" applyFill="1" applyBorder="1" applyAlignment="1" applyProtection="1">
      <alignment vertical="top" wrapText="1"/>
      <protection locked="0"/>
    </xf>
    <xf numFmtId="0" fontId="5" fillId="2" borderId="29" xfId="0" applyFont="1" applyFill="1" applyBorder="1" applyAlignment="1" applyProtection="1">
      <alignment vertical="top" wrapText="1"/>
      <protection locked="0"/>
    </xf>
    <xf numFmtId="0" fontId="5" fillId="2" borderId="30" xfId="0" applyFont="1" applyFill="1" applyBorder="1" applyAlignment="1" applyProtection="1">
      <alignment vertical="top" wrapText="1"/>
      <protection locked="0"/>
    </xf>
    <xf numFmtId="0" fontId="15" fillId="2" borderId="22" xfId="0" applyFont="1" applyFill="1" applyBorder="1" applyAlignment="1">
      <alignment vertical="top" wrapText="1"/>
    </xf>
    <xf numFmtId="0" fontId="15" fillId="2" borderId="23" xfId="0" applyFont="1" applyFill="1" applyBorder="1" applyAlignment="1">
      <alignment vertical="top" wrapText="1"/>
    </xf>
    <xf numFmtId="0" fontId="15" fillId="2" borderId="24" xfId="0" applyFont="1" applyFill="1" applyBorder="1" applyAlignment="1">
      <alignment vertical="top" wrapText="1"/>
    </xf>
    <xf numFmtId="0" fontId="6" fillId="2" borderId="16" xfId="0" applyFont="1" applyFill="1" applyBorder="1" applyAlignment="1" applyProtection="1">
      <alignment vertical="top" wrapText="1"/>
      <protection locked="0"/>
    </xf>
    <xf numFmtId="0" fontId="6" fillId="2" borderId="17"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6" fillId="2" borderId="28" xfId="0" applyFont="1" applyFill="1" applyBorder="1" applyAlignment="1" applyProtection="1">
      <alignment vertical="top" wrapText="1"/>
      <protection locked="0"/>
    </xf>
    <xf numFmtId="0" fontId="6" fillId="2" borderId="29" xfId="0" applyFont="1" applyFill="1" applyBorder="1" applyAlignment="1" applyProtection="1">
      <alignment vertical="top" wrapText="1"/>
      <protection locked="0"/>
    </xf>
    <xf numFmtId="0" fontId="6" fillId="2" borderId="30" xfId="0" applyFont="1" applyFill="1" applyBorder="1" applyAlignment="1" applyProtection="1">
      <alignment vertical="top" wrapText="1"/>
      <protection locked="0"/>
    </xf>
    <xf numFmtId="0" fontId="6" fillId="2" borderId="25" xfId="0" applyFont="1" applyFill="1" applyBorder="1" applyAlignment="1" applyProtection="1">
      <alignment vertical="top" wrapText="1"/>
      <protection locked="0"/>
    </xf>
    <xf numFmtId="0" fontId="6" fillId="2" borderId="26" xfId="0" applyFont="1" applyFill="1" applyBorder="1" applyAlignment="1" applyProtection="1">
      <alignment vertical="top" wrapText="1"/>
      <protection locked="0"/>
    </xf>
    <xf numFmtId="0" fontId="6" fillId="2" borderId="27" xfId="0" applyFont="1" applyFill="1" applyBorder="1" applyAlignment="1" applyProtection="1">
      <alignment vertical="top" wrapText="1"/>
      <protection locked="0"/>
    </xf>
    <xf numFmtId="0" fontId="5" fillId="2" borderId="22" xfId="0" applyFont="1" applyFill="1" applyBorder="1" applyAlignment="1" applyProtection="1">
      <alignment vertical="top" wrapText="1"/>
      <protection locked="0"/>
    </xf>
    <xf numFmtId="0" fontId="5" fillId="2" borderId="23" xfId="0" applyFont="1" applyFill="1" applyBorder="1" applyAlignment="1" applyProtection="1">
      <alignment vertical="top" wrapText="1"/>
      <protection locked="0"/>
    </xf>
    <xf numFmtId="0" fontId="5" fillId="2" borderId="24" xfId="0" applyFont="1" applyFill="1" applyBorder="1" applyAlignment="1" applyProtection="1">
      <alignment vertical="top" wrapText="1"/>
      <protection locked="0"/>
    </xf>
    <xf numFmtId="0" fontId="5" fillId="2" borderId="16" xfId="0" applyFont="1" applyFill="1" applyBorder="1" applyAlignment="1" applyProtection="1">
      <alignment vertical="top" wrapText="1"/>
      <protection locked="0"/>
    </xf>
    <xf numFmtId="0" fontId="5" fillId="2" borderId="17" xfId="0" applyFont="1" applyFill="1" applyBorder="1" applyAlignment="1" applyProtection="1">
      <alignment vertical="top" wrapText="1"/>
      <protection locked="0"/>
    </xf>
    <xf numFmtId="0" fontId="5" fillId="2" borderId="18" xfId="0" applyFont="1" applyFill="1" applyBorder="1" applyAlignment="1" applyProtection="1">
      <alignment vertical="top" wrapText="1"/>
      <protection locked="0"/>
    </xf>
    <xf numFmtId="0" fontId="6" fillId="2" borderId="11" xfId="0" applyFont="1" applyFill="1" applyBorder="1" applyAlignment="1" applyProtection="1">
      <alignment vertical="top" wrapText="1"/>
      <protection locked="0"/>
    </xf>
    <xf numFmtId="0" fontId="6" fillId="2" borderId="12" xfId="0" applyFont="1" applyFill="1" applyBorder="1" applyAlignment="1" applyProtection="1">
      <alignment vertical="top" wrapText="1"/>
      <protection locked="0"/>
    </xf>
    <xf numFmtId="0" fontId="6" fillId="2" borderId="13" xfId="0" applyFont="1" applyFill="1" applyBorder="1" applyAlignment="1" applyProtection="1">
      <alignment vertical="top" wrapText="1"/>
      <protection locked="0"/>
    </xf>
    <xf numFmtId="0" fontId="6" fillId="2" borderId="37" xfId="0" applyFont="1" applyFill="1" applyBorder="1" applyAlignment="1" applyProtection="1">
      <alignment vertical="top" wrapText="1"/>
      <protection locked="0"/>
    </xf>
    <xf numFmtId="0" fontId="6" fillId="2" borderId="38" xfId="0" applyFont="1" applyFill="1" applyBorder="1" applyAlignment="1" applyProtection="1">
      <alignment vertical="top" wrapText="1"/>
      <protection locked="0"/>
    </xf>
    <xf numFmtId="0" fontId="6" fillId="2" borderId="39" xfId="0" applyFont="1" applyFill="1" applyBorder="1" applyAlignment="1" applyProtection="1">
      <alignment vertical="top" wrapText="1"/>
      <protection locked="0"/>
    </xf>
    <xf numFmtId="0" fontId="6" fillId="2" borderId="22" xfId="0" applyFont="1" applyFill="1" applyBorder="1" applyAlignment="1" applyProtection="1">
      <alignment vertical="top" wrapText="1"/>
      <protection locked="0"/>
    </xf>
    <xf numFmtId="0" fontId="6" fillId="2" borderId="23" xfId="0" applyFont="1" applyFill="1" applyBorder="1" applyAlignment="1" applyProtection="1">
      <alignment vertical="top" wrapText="1"/>
      <protection locked="0"/>
    </xf>
    <xf numFmtId="0" fontId="6" fillId="2" borderId="24" xfId="0" applyFont="1" applyFill="1" applyBorder="1" applyAlignment="1" applyProtection="1">
      <alignment vertical="top" wrapText="1"/>
      <protection locked="0"/>
    </xf>
    <xf numFmtId="0" fontId="5" fillId="2" borderId="19" xfId="0" applyFont="1" applyFill="1" applyBorder="1" applyAlignment="1" applyProtection="1">
      <alignment vertical="top" wrapText="1"/>
      <protection locked="0"/>
    </xf>
    <xf numFmtId="0" fontId="5" fillId="2" borderId="20" xfId="0" applyFont="1" applyFill="1" applyBorder="1" applyAlignment="1" applyProtection="1">
      <alignment vertical="top" wrapText="1"/>
      <protection locked="0"/>
    </xf>
    <xf numFmtId="0" fontId="5" fillId="2" borderId="21" xfId="0" applyFont="1" applyFill="1" applyBorder="1" applyAlignment="1" applyProtection="1">
      <alignment vertical="top" wrapText="1"/>
      <protection locked="0"/>
    </xf>
    <xf numFmtId="0" fontId="5" fillId="2" borderId="37" xfId="0" applyFont="1" applyFill="1" applyBorder="1" applyAlignment="1" applyProtection="1">
      <alignment vertical="top" wrapText="1"/>
      <protection locked="0"/>
    </xf>
    <xf numFmtId="0" fontId="5" fillId="2" borderId="38" xfId="0" applyFont="1" applyFill="1" applyBorder="1" applyAlignment="1" applyProtection="1">
      <alignment vertical="top" wrapText="1"/>
      <protection locked="0"/>
    </xf>
    <xf numFmtId="0" fontId="5" fillId="2" borderId="39"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15" xfId="0" applyFont="1" applyFill="1" applyBorder="1" applyAlignment="1" applyProtection="1">
      <alignment vertical="top" wrapText="1"/>
      <protection locked="0"/>
    </xf>
    <xf numFmtId="0" fontId="5" fillId="2" borderId="11"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5" fillId="2" borderId="13" xfId="0" applyFont="1" applyFill="1" applyBorder="1" applyAlignment="1" applyProtection="1">
      <alignment vertical="top" wrapText="1"/>
      <protection locked="0"/>
    </xf>
    <xf numFmtId="0" fontId="6" fillId="2" borderId="31" xfId="0" applyFont="1" applyFill="1" applyBorder="1" applyAlignment="1" applyProtection="1">
      <alignment vertical="top" wrapText="1"/>
      <protection locked="0"/>
    </xf>
    <xf numFmtId="0" fontId="6" fillId="2" borderId="32" xfId="0" applyFont="1" applyFill="1" applyBorder="1" applyAlignment="1" applyProtection="1">
      <alignment vertical="top" wrapText="1"/>
      <protection locked="0"/>
    </xf>
    <xf numFmtId="0" fontId="6" fillId="2" borderId="33" xfId="0" applyFont="1" applyFill="1" applyBorder="1" applyAlignment="1" applyProtection="1">
      <alignment vertical="top" wrapText="1"/>
      <protection locked="0"/>
    </xf>
    <xf numFmtId="0" fontId="5" fillId="2" borderId="25" xfId="0" applyFont="1" applyFill="1" applyBorder="1" applyAlignment="1" applyProtection="1">
      <alignment vertical="top" wrapText="1"/>
      <protection locked="0"/>
    </xf>
    <xf numFmtId="0" fontId="5" fillId="2" borderId="26" xfId="0" applyFont="1" applyFill="1" applyBorder="1" applyAlignment="1" applyProtection="1">
      <alignment vertical="top" wrapText="1"/>
      <protection locked="0"/>
    </xf>
    <xf numFmtId="0" fontId="5" fillId="2" borderId="27" xfId="0" applyFont="1" applyFill="1" applyBorder="1" applyAlignment="1" applyProtection="1">
      <alignment vertical="top" wrapText="1"/>
      <protection locked="0"/>
    </xf>
    <xf numFmtId="0" fontId="15" fillId="2" borderId="25" xfId="0" applyFont="1" applyFill="1" applyBorder="1" applyAlignment="1" applyProtection="1">
      <alignment vertical="top" wrapText="1"/>
      <protection locked="0"/>
    </xf>
    <xf numFmtId="0" fontId="15" fillId="2" borderId="26" xfId="0" applyFont="1" applyFill="1" applyBorder="1" applyAlignment="1" applyProtection="1">
      <alignment vertical="top" wrapText="1"/>
      <protection locked="0"/>
    </xf>
    <xf numFmtId="0" fontId="15" fillId="2" borderId="27" xfId="0" applyFont="1" applyFill="1" applyBorder="1" applyAlignment="1" applyProtection="1">
      <alignment vertical="top" wrapText="1"/>
      <protection locked="0"/>
    </xf>
    <xf numFmtId="0" fontId="15" fillId="2" borderId="28" xfId="0" applyFont="1" applyFill="1" applyBorder="1" applyAlignment="1" applyProtection="1">
      <alignment vertical="top" wrapText="1"/>
      <protection locked="0"/>
    </xf>
    <xf numFmtId="0" fontId="15" fillId="2" borderId="31" xfId="0" applyFont="1" applyFill="1" applyBorder="1" applyAlignment="1" applyProtection="1">
      <alignment vertical="top" wrapText="1"/>
      <protection locked="0"/>
    </xf>
    <xf numFmtId="0" fontId="15" fillId="2" borderId="32" xfId="0" applyFont="1" applyFill="1" applyBorder="1" applyAlignment="1" applyProtection="1">
      <alignment vertical="top" wrapText="1"/>
      <protection locked="0"/>
    </xf>
    <xf numFmtId="0" fontId="15" fillId="2" borderId="33" xfId="0" applyFont="1" applyFill="1" applyBorder="1" applyAlignment="1" applyProtection="1">
      <alignment vertical="top" wrapText="1"/>
      <protection locked="0"/>
    </xf>
    <xf numFmtId="0" fontId="5" fillId="2" borderId="31" xfId="0" applyFont="1" applyFill="1" applyBorder="1" applyAlignment="1" applyProtection="1">
      <alignment vertical="top" wrapText="1"/>
      <protection locked="0"/>
    </xf>
    <xf numFmtId="0" fontId="5" fillId="2" borderId="32" xfId="0" applyFont="1" applyFill="1" applyBorder="1" applyAlignment="1" applyProtection="1">
      <alignment vertical="top" wrapText="1"/>
      <protection locked="0"/>
    </xf>
    <xf numFmtId="0" fontId="5" fillId="2" borderId="33" xfId="0" applyFont="1" applyFill="1" applyBorder="1" applyAlignment="1" applyProtection="1">
      <alignment vertical="top" wrapText="1"/>
      <protection locked="0"/>
    </xf>
    <xf numFmtId="0" fontId="6" fillId="2" borderId="42" xfId="0" applyFont="1" applyFill="1" applyBorder="1" applyAlignment="1">
      <alignment vertical="top" wrapText="1"/>
    </xf>
    <xf numFmtId="0" fontId="6" fillId="2" borderId="39" xfId="0" applyFont="1" applyFill="1" applyBorder="1" applyAlignment="1">
      <alignment vertical="top" wrapText="1"/>
    </xf>
    <xf numFmtId="0" fontId="6" fillId="2" borderId="22" xfId="0" applyFont="1" applyFill="1" applyBorder="1" applyAlignment="1">
      <alignment vertical="top" wrapText="1"/>
    </xf>
    <xf numFmtId="0" fontId="6" fillId="2" borderId="23" xfId="0" applyFont="1" applyFill="1" applyBorder="1" applyAlignment="1">
      <alignment vertical="top" wrapText="1"/>
    </xf>
    <xf numFmtId="0" fontId="6" fillId="2" borderId="24" xfId="0" applyFont="1" applyFill="1" applyBorder="1" applyAlignment="1">
      <alignment vertical="top" wrapText="1"/>
    </xf>
    <xf numFmtId="0" fontId="14" fillId="7" borderId="19" xfId="0" applyFont="1" applyFill="1" applyBorder="1" applyAlignment="1">
      <alignment horizontal="left" vertical="top" wrapText="1"/>
    </xf>
    <xf numFmtId="0" fontId="14" fillId="7" borderId="20" xfId="0" applyFont="1" applyFill="1" applyBorder="1" applyAlignment="1">
      <alignment horizontal="left" vertical="top" wrapText="1"/>
    </xf>
    <xf numFmtId="0" fontId="14" fillId="7" borderId="21" xfId="0" applyFont="1" applyFill="1" applyBorder="1" applyAlignment="1">
      <alignment horizontal="left" vertical="top" wrapText="1"/>
    </xf>
    <xf numFmtId="0" fontId="6" fillId="2" borderId="44" xfId="0" applyFont="1" applyFill="1" applyBorder="1" applyAlignment="1">
      <alignment vertical="top" wrapText="1"/>
    </xf>
    <xf numFmtId="0" fontId="6" fillId="2" borderId="35" xfId="0" applyFont="1" applyFill="1" applyBorder="1" applyAlignment="1">
      <alignment vertical="top" wrapText="1"/>
    </xf>
    <xf numFmtId="0" fontId="6" fillId="2" borderId="27" xfId="0" applyFont="1" applyFill="1" applyBorder="1" applyAlignment="1">
      <alignment vertical="top" wrapText="1"/>
    </xf>
  </cellXfs>
  <cellStyles count="2">
    <cellStyle name="Hyperlink" xfId="1" builtinId="8"/>
    <cellStyle name="Normal" xfId="0" builtinId="0"/>
  </cellStyles>
  <dxfs count="4">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256</xdr:row>
          <xdr:rowOff>304800</xdr:rowOff>
        </xdr:from>
        <xdr:to>
          <xdr:col>4</xdr:col>
          <xdr:colOff>581025</xdr:colOff>
          <xdr:row>257</xdr:row>
          <xdr:rowOff>285750</xdr:rowOff>
        </xdr:to>
        <xdr:sp macro="" textlink="">
          <xdr:nvSpPr>
            <xdr:cNvPr id="1096" name="Button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Click to generate Word document (Excel 2010)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259</xdr:row>
          <xdr:rowOff>19050</xdr:rowOff>
        </xdr:from>
        <xdr:to>
          <xdr:col>4</xdr:col>
          <xdr:colOff>571500</xdr:colOff>
          <xdr:row>259</xdr:row>
          <xdr:rowOff>314325</xdr:rowOff>
        </xdr:to>
        <xdr:sp macro="" textlink="">
          <xdr:nvSpPr>
            <xdr:cNvPr id="1115" name="Button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Click to generate PDF document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ravax.nhs.uk/destinations/middle-east/iraq.aspx" TargetMode="External"/><Relationship Id="rId21" Type="http://schemas.openxmlformats.org/officeDocument/2006/relationships/hyperlink" Target="http://www.travax.nhs.uk/destinations/north-america/greenland.aspx" TargetMode="External"/><Relationship Id="rId42" Type="http://schemas.openxmlformats.org/officeDocument/2006/relationships/hyperlink" Target="http://www.travax.nhs.uk/destinations/asia-(east)/myanmar.aspx" TargetMode="External"/><Relationship Id="rId47" Type="http://schemas.openxmlformats.org/officeDocument/2006/relationships/hyperlink" Target="http://www.travax.nhs.uk/destinations/australasia-and-pacific/palau.aspx" TargetMode="External"/><Relationship Id="rId63" Type="http://schemas.openxmlformats.org/officeDocument/2006/relationships/hyperlink" Target="http://www.travax.nhs.uk/destinations/asia-(east)/vietnam.aspx" TargetMode="External"/><Relationship Id="rId68" Type="http://schemas.openxmlformats.org/officeDocument/2006/relationships/vmlDrawing" Target="../drawings/vmlDrawing1.vml"/><Relationship Id="rId7" Type="http://schemas.openxmlformats.org/officeDocument/2006/relationships/hyperlink" Target="http://www.travax.nhs.uk/destinations/africa/botswana.aspx" TargetMode="External"/><Relationship Id="rId71" Type="http://schemas.openxmlformats.org/officeDocument/2006/relationships/comments" Target="../comments1.xml"/><Relationship Id="rId2" Type="http://schemas.openxmlformats.org/officeDocument/2006/relationships/hyperlink" Target="http://www.travax.nhs.uk/destinations/asia-(east)/bhutan.aspx" TargetMode="External"/><Relationship Id="rId16" Type="http://schemas.openxmlformats.org/officeDocument/2006/relationships/hyperlink" Target="http://www.travax.nhs.uk/destinations/africa/equatorial-guinea.aspx" TargetMode="External"/><Relationship Id="rId29" Type="http://schemas.openxmlformats.org/officeDocument/2006/relationships/hyperlink" Target="http://www.travax.nhs.uk/destinations/asia-(east)/republic-of-korea.aspx" TargetMode="External"/><Relationship Id="rId11" Type="http://schemas.openxmlformats.org/officeDocument/2006/relationships/hyperlink" Target="http://www.travax.nhs.uk/destinations/africa/chad.aspx" TargetMode="External"/><Relationship Id="rId24" Type="http://schemas.openxmlformats.org/officeDocument/2006/relationships/hyperlink" Target="http://www.travax.nhs.uk/destinations/asia-(east)/india.aspx" TargetMode="External"/><Relationship Id="rId32" Type="http://schemas.openxmlformats.org/officeDocument/2006/relationships/hyperlink" Target="http://www.travax.nhs.uk/destinations/asia-(east)/laos.aspx" TargetMode="External"/><Relationship Id="rId37" Type="http://schemas.openxmlformats.org/officeDocument/2006/relationships/hyperlink" Target="http://www.travax.nhs.uk/destinations/australasia-and-pacific/marshall-islands.aspx" TargetMode="External"/><Relationship Id="rId40" Type="http://schemas.openxmlformats.org/officeDocument/2006/relationships/hyperlink" Target="http://www.travax.nhs.uk/destinations/asia-(east)/mongolia.aspx" TargetMode="External"/><Relationship Id="rId45" Type="http://schemas.openxmlformats.org/officeDocument/2006/relationships/hyperlink" Target="http://www.travax.nhs.uk/destinations/africa/nigeria.aspx" TargetMode="External"/><Relationship Id="rId53" Type="http://schemas.openxmlformats.org/officeDocument/2006/relationships/hyperlink" Target="http://www.travax.nhs.uk/destinations/africa/south-africa.aspx" TargetMode="External"/><Relationship Id="rId58" Type="http://schemas.openxmlformats.org/officeDocument/2006/relationships/hyperlink" Target="http://www.travax.nhs.uk/destinations/asia-(central)/tajikistan.aspx" TargetMode="External"/><Relationship Id="rId66" Type="http://schemas.openxmlformats.org/officeDocument/2006/relationships/printerSettings" Target="../printerSettings/printerSettings1.bin"/><Relationship Id="rId5" Type="http://schemas.openxmlformats.org/officeDocument/2006/relationships/hyperlink" Target="http://www.travax.nhs.uk/destinations/africa/angola.aspx" TargetMode="External"/><Relationship Id="rId61" Type="http://schemas.openxmlformats.org/officeDocument/2006/relationships/hyperlink" Target="http://www.travax.nhs.uk/destinations/australasia-and-pacific/tuvalu.aspx" TargetMode="External"/><Relationship Id="rId19" Type="http://schemas.openxmlformats.org/officeDocument/2006/relationships/hyperlink" Target="http://www.travax.nhs.uk/destinations/africa/gabon.aspx" TargetMode="External"/><Relationship Id="rId14" Type="http://schemas.openxmlformats.org/officeDocument/2006/relationships/hyperlink" Target="http://www.travax.nhs.uk/destinations/africa/democratic-republic-of-congo.aspx" TargetMode="External"/><Relationship Id="rId22" Type="http://schemas.openxmlformats.org/officeDocument/2006/relationships/hyperlink" Target="http://www.travax.nhs.uk/destinations/africa/guinea.aspx" TargetMode="External"/><Relationship Id="rId27" Type="http://schemas.openxmlformats.org/officeDocument/2006/relationships/hyperlink" Target="http://www.travax.nhs.uk/destinations/caribbean/haiti.aspx" TargetMode="External"/><Relationship Id="rId30" Type="http://schemas.openxmlformats.org/officeDocument/2006/relationships/hyperlink" Target="http://www.travax.nhs.uk/destinations/asia-(east)/democratic-peoples-republic-of-korea.aspx" TargetMode="External"/><Relationship Id="rId35" Type="http://schemas.openxmlformats.org/officeDocument/2006/relationships/hyperlink" Target="http://www.travax.nhs.uk/destinations/africa/madagascar.aspx" TargetMode="External"/><Relationship Id="rId43" Type="http://schemas.openxmlformats.org/officeDocument/2006/relationships/hyperlink" Target="http://www.travax.nhs.uk/destinations/africa/namibia.aspx" TargetMode="External"/><Relationship Id="rId48" Type="http://schemas.openxmlformats.org/officeDocument/2006/relationships/hyperlink" Target="http://www.travax.nhs.uk/destinations/australasia-and-pacific/papua-new-guinea.aspx" TargetMode="External"/><Relationship Id="rId56" Type="http://schemas.openxmlformats.org/officeDocument/2006/relationships/hyperlink" Target="http://www.travax.nhs.uk/destinations/africa/swaziland.aspx" TargetMode="External"/><Relationship Id="rId64" Type="http://schemas.openxmlformats.org/officeDocument/2006/relationships/hyperlink" Target="http://www.travax.nhs.uk/destinations/africa/zambia.aspx" TargetMode="External"/><Relationship Id="rId69" Type="http://schemas.openxmlformats.org/officeDocument/2006/relationships/ctrlProp" Target="../ctrlProps/ctrlProp1.xml"/><Relationship Id="rId8" Type="http://schemas.openxmlformats.org/officeDocument/2006/relationships/hyperlink" Target="http://www.travax.nhs.uk/destinations/asia-(east)/cambodia.aspx" TargetMode="External"/><Relationship Id="rId51" Type="http://schemas.openxmlformats.org/officeDocument/2006/relationships/hyperlink" Target="http://www.travax.nhs.uk/destinations/africa/sierra-leone.aspx" TargetMode="External"/><Relationship Id="rId3" Type="http://schemas.openxmlformats.org/officeDocument/2006/relationships/hyperlink" Target="http://www.gov.scot/resource/doc/1095/0059478.pdf" TargetMode="External"/><Relationship Id="rId12" Type="http://schemas.openxmlformats.org/officeDocument/2006/relationships/hyperlink" Target="http://www.travax.nhs.uk/destinations/africa/congo.aspx" TargetMode="External"/><Relationship Id="rId17" Type="http://schemas.openxmlformats.org/officeDocument/2006/relationships/hyperlink" Target="http://www.travax.nhs.uk/destinations/africa/eritrea.aspx" TargetMode="External"/><Relationship Id="rId25" Type="http://schemas.openxmlformats.org/officeDocument/2006/relationships/hyperlink" Target="http://www.travax.nhs.uk/destinations/asia-(east)/indonesia.aspx" TargetMode="External"/><Relationship Id="rId33" Type="http://schemas.openxmlformats.org/officeDocument/2006/relationships/hyperlink" Target="http://www.travax.nhs.uk/destinations/africa/lesotho.aspx" TargetMode="External"/><Relationship Id="rId38" Type="http://schemas.openxmlformats.org/officeDocument/2006/relationships/hyperlink" Target="http://www.travax.nhs.uk/destinations/africa/mauritania.aspx" TargetMode="External"/><Relationship Id="rId46" Type="http://schemas.openxmlformats.org/officeDocument/2006/relationships/hyperlink" Target="http://www.travax.nhs.uk/destinations/asia-(central)/pakistan.aspx" TargetMode="External"/><Relationship Id="rId59" Type="http://schemas.openxmlformats.org/officeDocument/2006/relationships/hyperlink" Target="http://www.travax.nhs.uk/destinations/africa/united-republic-of-tanzania.aspx" TargetMode="External"/><Relationship Id="rId67" Type="http://schemas.openxmlformats.org/officeDocument/2006/relationships/drawing" Target="../drawings/drawing1.xml"/><Relationship Id="rId20" Type="http://schemas.openxmlformats.org/officeDocument/2006/relationships/hyperlink" Target="http://www.travax.nhs.uk/destinations/africa/gambia.aspx" TargetMode="External"/><Relationship Id="rId41" Type="http://schemas.openxmlformats.org/officeDocument/2006/relationships/hyperlink" Target="http://www.travax.nhs.uk/destinations/africa/mozambique.aspx" TargetMode="External"/><Relationship Id="rId54" Type="http://schemas.openxmlformats.org/officeDocument/2006/relationships/hyperlink" Target="http://www.travax.nhs.uk/destinations/asia-(east)/sri-lanka.aspx" TargetMode="External"/><Relationship Id="rId62" Type="http://schemas.openxmlformats.org/officeDocument/2006/relationships/hyperlink" Target="http://www.travax.nhs.uk/destinations/africa/uganda.aspx" TargetMode="External"/><Relationship Id="rId70" Type="http://schemas.openxmlformats.org/officeDocument/2006/relationships/ctrlProp" Target="../ctrlProps/ctrlProp2.xml"/><Relationship Id="rId1" Type="http://schemas.openxmlformats.org/officeDocument/2006/relationships/hyperlink" Target="http://www.travax.nhs.uk/destinations/asia-(central)/afghanistan.aspx" TargetMode="External"/><Relationship Id="rId6" Type="http://schemas.openxmlformats.org/officeDocument/2006/relationships/hyperlink" Target="http://www.travax.nhs.uk/destinations/asia-(east)/bangladesh.aspx" TargetMode="External"/><Relationship Id="rId15" Type="http://schemas.openxmlformats.org/officeDocument/2006/relationships/hyperlink" Target="http://www.travax.nhs.uk/destinations/africa/djibouti.aspx" TargetMode="External"/><Relationship Id="rId23" Type="http://schemas.openxmlformats.org/officeDocument/2006/relationships/hyperlink" Target="http://www.travax.nhs.uk/destinations/africa/guinea-bissau.aspx" TargetMode="External"/><Relationship Id="rId28" Type="http://schemas.openxmlformats.org/officeDocument/2006/relationships/hyperlink" Target="http://www.travax.nhs.uk/destinations/africa/kenya.aspx" TargetMode="External"/><Relationship Id="rId36" Type="http://schemas.openxmlformats.org/officeDocument/2006/relationships/hyperlink" Target="http://www.travax.nhs.uk/destinations/africa/malawi.aspx" TargetMode="External"/><Relationship Id="rId49" Type="http://schemas.openxmlformats.org/officeDocument/2006/relationships/hyperlink" Target="http://www.travax.nhs.uk/destinations/asia-(east)/philippines.aspx" TargetMode="External"/><Relationship Id="rId57" Type="http://schemas.openxmlformats.org/officeDocument/2006/relationships/hyperlink" Target="http://www.travax.nhs.uk/destinations/middle-east/syria.aspx" TargetMode="External"/><Relationship Id="rId10" Type="http://schemas.openxmlformats.org/officeDocument/2006/relationships/hyperlink" Target="http://www.travax.nhs.uk/destinations/africa/central-african-republic.aspx" TargetMode="External"/><Relationship Id="rId31" Type="http://schemas.openxmlformats.org/officeDocument/2006/relationships/hyperlink" Target="http://www.travax.nhs.uk/destinations/australasia-and-pacific/kiribati.aspx" TargetMode="External"/><Relationship Id="rId44" Type="http://schemas.openxmlformats.org/officeDocument/2006/relationships/hyperlink" Target="http://www.travax.nhs.uk/destinations/asia-(east)/nepal.aspx" TargetMode="External"/><Relationship Id="rId52" Type="http://schemas.openxmlformats.org/officeDocument/2006/relationships/hyperlink" Target="http://www.travax.nhs.uk/destinations/africa/somalia.aspx" TargetMode="External"/><Relationship Id="rId60" Type="http://schemas.openxmlformats.org/officeDocument/2006/relationships/hyperlink" Target="http://www.travax.nhs.uk/destinations/asia-(east)/east-timor.aspx" TargetMode="External"/><Relationship Id="rId65" Type="http://schemas.openxmlformats.org/officeDocument/2006/relationships/hyperlink" Target="http://www.travax.nhs.uk/destinations/africa/zimbabwe.aspx" TargetMode="External"/><Relationship Id="rId4" Type="http://schemas.openxmlformats.org/officeDocument/2006/relationships/hyperlink" Target="http://www.publicguardian-scotland.gov.uk/power-of-attorney" TargetMode="External"/><Relationship Id="rId9" Type="http://schemas.openxmlformats.org/officeDocument/2006/relationships/hyperlink" Target="http://www.travax.nhs.uk/destinations/africa/cameroon.aspx" TargetMode="External"/><Relationship Id="rId13" Type="http://schemas.openxmlformats.org/officeDocument/2006/relationships/hyperlink" Target="http://www.travax.nhs.uk/destinations/africa/cote-divoire.aspx" TargetMode="External"/><Relationship Id="rId18" Type="http://schemas.openxmlformats.org/officeDocument/2006/relationships/hyperlink" Target="http://www.travax.nhs.uk/destinations/africa/ethiopia.aspx" TargetMode="External"/><Relationship Id="rId39" Type="http://schemas.openxmlformats.org/officeDocument/2006/relationships/hyperlink" Target="http://www.travax.nhs.uk/destinations/australasia-and-pacific/federated-states-of-micronesia.aspx" TargetMode="External"/><Relationship Id="rId34" Type="http://schemas.openxmlformats.org/officeDocument/2006/relationships/hyperlink" Target="http://www.travax.nhs.uk/destinations/africa/liberia.aspx" TargetMode="External"/><Relationship Id="rId50" Type="http://schemas.openxmlformats.org/officeDocument/2006/relationships/hyperlink" Target="http://www.travax.nhs.uk/destinations/europe-and-russia/republic-of-moldova.aspx" TargetMode="External"/><Relationship Id="rId55" Type="http://schemas.openxmlformats.org/officeDocument/2006/relationships/hyperlink" Target="http://www.travax.nhs.uk/destinations/africa/sudan.asp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fitfortravel.scot.nhs.uk/destinations/africa/south-africa.aspx" TargetMode="External"/><Relationship Id="rId18" Type="http://schemas.openxmlformats.org/officeDocument/2006/relationships/hyperlink" Target="http://www.fitfortravel.scot.nhs.uk/destinations/australasia--pacific/papua-new-guinea.aspx" TargetMode="External"/><Relationship Id="rId26" Type="http://schemas.openxmlformats.org/officeDocument/2006/relationships/hyperlink" Target="http://www.fitfortravel.scot.nhs.uk/destinations/asia-(east)/mongolia.aspx" TargetMode="External"/><Relationship Id="rId39" Type="http://schemas.openxmlformats.org/officeDocument/2006/relationships/hyperlink" Target="http://www.fitfortravel.scot.nhs.uk/destinations/caribbean/haiti.aspx" TargetMode="External"/><Relationship Id="rId21" Type="http://schemas.openxmlformats.org/officeDocument/2006/relationships/hyperlink" Target="http://www.fitfortravel.scot.nhs.uk/destinations/africa/nigeria.aspx" TargetMode="External"/><Relationship Id="rId34" Type="http://schemas.openxmlformats.org/officeDocument/2006/relationships/hyperlink" Target="http://www.fitfortravel.scot.nhs.uk/destinations/asia-(east)/laos.aspx" TargetMode="External"/><Relationship Id="rId42" Type="http://schemas.openxmlformats.org/officeDocument/2006/relationships/hyperlink" Target="http://www.fitfortravel.scot.nhs.uk/destinations/asia-(east)/india.aspx" TargetMode="External"/><Relationship Id="rId47" Type="http://schemas.openxmlformats.org/officeDocument/2006/relationships/hyperlink" Target="http://www.fitfortravel.scot.nhs.uk/destinations/africa/gabon.aspx" TargetMode="External"/><Relationship Id="rId50" Type="http://schemas.openxmlformats.org/officeDocument/2006/relationships/hyperlink" Target="http://www.fitfortravel.scot.nhs.uk/destinations/africa/equatorial-guinea.aspx" TargetMode="External"/><Relationship Id="rId55" Type="http://schemas.openxmlformats.org/officeDocument/2006/relationships/hyperlink" Target="http://www.fitfortravel.scot.nhs.uk/destinations/africa/chad.aspx" TargetMode="External"/><Relationship Id="rId63" Type="http://schemas.openxmlformats.org/officeDocument/2006/relationships/hyperlink" Target="http://www.fitfortravel.scot.nhs.uk/destinations/asia-(central)/afghanistan.aspx" TargetMode="External"/><Relationship Id="rId7" Type="http://schemas.openxmlformats.org/officeDocument/2006/relationships/hyperlink" Target="http://www.fitfortravel.scot.nhs.uk/destinations/africa/united-republic-of-tanzania.aspx" TargetMode="External"/><Relationship Id="rId2" Type="http://schemas.openxmlformats.org/officeDocument/2006/relationships/hyperlink" Target="http://www.fitfortravel.scot.nhs.uk/destinations/africa/zambia.aspx" TargetMode="External"/><Relationship Id="rId16" Type="http://schemas.openxmlformats.org/officeDocument/2006/relationships/hyperlink" Target="http://www.fitfortravel.scot.nhs.uk/destinations/europe--russia/republic-of-moldova.aspx" TargetMode="External"/><Relationship Id="rId29" Type="http://schemas.openxmlformats.org/officeDocument/2006/relationships/hyperlink" Target="http://www.fitfortravel.scot.nhs.uk/destinations/australasia--pacific/marshall-islands.aspx" TargetMode="External"/><Relationship Id="rId11" Type="http://schemas.openxmlformats.org/officeDocument/2006/relationships/hyperlink" Target="http://www.fitfortravel.scot.nhs.uk/destinations/africa/sudan.aspx" TargetMode="External"/><Relationship Id="rId24" Type="http://schemas.openxmlformats.org/officeDocument/2006/relationships/hyperlink" Target="http://www.fitfortravel.scot.nhs.uk/destinations/asia-(east)/myanmar.aspx" TargetMode="External"/><Relationship Id="rId32" Type="http://schemas.openxmlformats.org/officeDocument/2006/relationships/hyperlink" Target="http://www.fitfortravel.scot.nhs.uk/destinations/africa/liberia.aspx" TargetMode="External"/><Relationship Id="rId37" Type="http://schemas.openxmlformats.org/officeDocument/2006/relationships/hyperlink" Target="http://www.fitfortravel.scot.nhs.uk/destinations/asia-(east)/democratic-peoples-republic-of-korea.aspx" TargetMode="External"/><Relationship Id="rId40" Type="http://schemas.openxmlformats.org/officeDocument/2006/relationships/hyperlink" Target="http://www.fitfortravel.scot.nhs.uk/destinations/middle-east/iraq.aspx" TargetMode="External"/><Relationship Id="rId45" Type="http://schemas.openxmlformats.org/officeDocument/2006/relationships/hyperlink" Target="http://www.fitfortravel.scot.nhs.uk/destinations/north-america/greenland.aspx" TargetMode="External"/><Relationship Id="rId53" Type="http://schemas.openxmlformats.org/officeDocument/2006/relationships/hyperlink" Target="http://www.fitfortravel.scot.nhs.uk/destinations/africa/cote-divoire.aspx" TargetMode="External"/><Relationship Id="rId58" Type="http://schemas.openxmlformats.org/officeDocument/2006/relationships/hyperlink" Target="http://www.fitfortravel.scot.nhs.uk/destinations/asia-(east)/cambodia.aspx" TargetMode="External"/><Relationship Id="rId5" Type="http://schemas.openxmlformats.org/officeDocument/2006/relationships/hyperlink" Target="http://www.fitfortravel.scot.nhs.uk/destinations/australasia--pacific/tuvalu.aspx" TargetMode="External"/><Relationship Id="rId61" Type="http://schemas.openxmlformats.org/officeDocument/2006/relationships/hyperlink" Target="http://www.fitfortravel.scot.nhs.uk/destinations/asia-(east)/bangladesh.aspx" TargetMode="External"/><Relationship Id="rId19" Type="http://schemas.openxmlformats.org/officeDocument/2006/relationships/hyperlink" Target="http://www.fitfortravel.scot.nhs.uk/destinations/australasia--pacific/palau.aspx" TargetMode="External"/><Relationship Id="rId14" Type="http://schemas.openxmlformats.org/officeDocument/2006/relationships/hyperlink" Target="http://www.fitfortravel.scot.nhs.uk/destinations/africa/somalia.aspx" TargetMode="External"/><Relationship Id="rId22" Type="http://schemas.openxmlformats.org/officeDocument/2006/relationships/hyperlink" Target="http://www.fitfortravel.scot.nhs.uk/destinations/asia-(east)/nepal.aspx" TargetMode="External"/><Relationship Id="rId27" Type="http://schemas.openxmlformats.org/officeDocument/2006/relationships/hyperlink" Target="http://www.fitfortravel.scot.nhs.uk/destinations/australasia--pacific/federated-states-of-micronesia.aspx" TargetMode="External"/><Relationship Id="rId30" Type="http://schemas.openxmlformats.org/officeDocument/2006/relationships/hyperlink" Target="http://www.fitfortravel.scot.nhs.uk/destinations/africa/malawi.aspx" TargetMode="External"/><Relationship Id="rId35" Type="http://schemas.openxmlformats.org/officeDocument/2006/relationships/hyperlink" Target="http://www.fitfortravel.scot.nhs.uk/destinations/australasia--pacific/kiribati.aspx" TargetMode="External"/><Relationship Id="rId43" Type="http://schemas.openxmlformats.org/officeDocument/2006/relationships/hyperlink" Target="http://www.fitfortravel.scot.nhs.uk/destinations/africa/guinea-bissau.aspx" TargetMode="External"/><Relationship Id="rId48" Type="http://schemas.openxmlformats.org/officeDocument/2006/relationships/hyperlink" Target="http://www.fitfortravel.scot.nhs.uk/destinations/africa/eritrea.aspx" TargetMode="External"/><Relationship Id="rId56" Type="http://schemas.openxmlformats.org/officeDocument/2006/relationships/hyperlink" Target="http://www.fitfortravel.scot.nhs.uk/destinations/africa/central-african-republic.aspx" TargetMode="External"/><Relationship Id="rId8" Type="http://schemas.openxmlformats.org/officeDocument/2006/relationships/hyperlink" Target="http://www.fitfortravel.scot.nhs.uk/destinations/asia-(central)/tajikistan.aspx" TargetMode="External"/><Relationship Id="rId51" Type="http://schemas.openxmlformats.org/officeDocument/2006/relationships/hyperlink" Target="http://www.fitfortravel.scot.nhs.uk/destinations/africa/djibouti.aspx" TargetMode="External"/><Relationship Id="rId3" Type="http://schemas.openxmlformats.org/officeDocument/2006/relationships/hyperlink" Target="http://www.fitfortravel.scot.nhs.uk/destinations/asia-(east)/vietnam.aspx" TargetMode="External"/><Relationship Id="rId12" Type="http://schemas.openxmlformats.org/officeDocument/2006/relationships/hyperlink" Target="http://www.fitfortravel.scot.nhs.uk/destinations/asia-(east)/sri-lanka.aspx" TargetMode="External"/><Relationship Id="rId17" Type="http://schemas.openxmlformats.org/officeDocument/2006/relationships/hyperlink" Target="http://www.fitfortravel.scot.nhs.uk/destinations/asia-(east)/philippines.aspx" TargetMode="External"/><Relationship Id="rId25" Type="http://schemas.openxmlformats.org/officeDocument/2006/relationships/hyperlink" Target="http://www.fitfortravel.scot.nhs.uk/destinations/africa/mozambique.aspx" TargetMode="External"/><Relationship Id="rId33" Type="http://schemas.openxmlformats.org/officeDocument/2006/relationships/hyperlink" Target="http://www.fitfortravel.scot.nhs.uk/destinations/africa/lesotho.aspx" TargetMode="External"/><Relationship Id="rId38" Type="http://schemas.openxmlformats.org/officeDocument/2006/relationships/hyperlink" Target="http://www.fitfortravel.scot.nhs.uk/destinations/africa/kenya.aspx" TargetMode="External"/><Relationship Id="rId46" Type="http://schemas.openxmlformats.org/officeDocument/2006/relationships/hyperlink" Target="http://www.fitfortravel.scot.nhs.uk/destinations/africa/gambia.aspx" TargetMode="External"/><Relationship Id="rId59" Type="http://schemas.openxmlformats.org/officeDocument/2006/relationships/hyperlink" Target="http://www.fitfortravel.scot.nhs.uk/destinations/africa/botswana.aspx" TargetMode="External"/><Relationship Id="rId20" Type="http://schemas.openxmlformats.org/officeDocument/2006/relationships/hyperlink" Target="http://www.fitfortravel.scot.nhs.uk/destinations/asia-(central)/pakistan.aspx" TargetMode="External"/><Relationship Id="rId41" Type="http://schemas.openxmlformats.org/officeDocument/2006/relationships/hyperlink" Target="http://www.fitfortravel.scot.nhs.uk/destinations/asia-(east)/indonesia.aspx" TargetMode="External"/><Relationship Id="rId54" Type="http://schemas.openxmlformats.org/officeDocument/2006/relationships/hyperlink" Target="http://www.fitfortravel.scot.nhs.uk/destinations/africa/congo.aspx" TargetMode="External"/><Relationship Id="rId62" Type="http://schemas.openxmlformats.org/officeDocument/2006/relationships/hyperlink" Target="http://www.fitfortravel.scot.nhs.uk/destinations/africa/angola.aspx" TargetMode="External"/><Relationship Id="rId1" Type="http://schemas.openxmlformats.org/officeDocument/2006/relationships/hyperlink" Target="http://www.fitfortravel.scot.nhs.uk/destinations/africa/zimbabwe.aspx" TargetMode="External"/><Relationship Id="rId6" Type="http://schemas.openxmlformats.org/officeDocument/2006/relationships/hyperlink" Target="http://www.fitfortravel.scot.nhs.uk/destinations/asia-(east)/east-timor.aspx" TargetMode="External"/><Relationship Id="rId15" Type="http://schemas.openxmlformats.org/officeDocument/2006/relationships/hyperlink" Target="http://www.fitfortravel.scot.nhs.uk/destinations/africa/sierra-leone.aspx" TargetMode="External"/><Relationship Id="rId23" Type="http://schemas.openxmlformats.org/officeDocument/2006/relationships/hyperlink" Target="http://www.fitfortravel.scot.nhs.uk/destinations/africa/namibia.aspx" TargetMode="External"/><Relationship Id="rId28" Type="http://schemas.openxmlformats.org/officeDocument/2006/relationships/hyperlink" Target="http://www.fitfortravel.scot.nhs.uk/destinations/africa/mauritania.aspx" TargetMode="External"/><Relationship Id="rId36" Type="http://schemas.openxmlformats.org/officeDocument/2006/relationships/hyperlink" Target="http://www.fitfortravel.scot.nhs.uk/destinations/asia-(east)/republic-of-korea.aspx" TargetMode="External"/><Relationship Id="rId49" Type="http://schemas.openxmlformats.org/officeDocument/2006/relationships/hyperlink" Target="http://www.fitfortravel.scot.nhs.uk/destinations/africa/ethiopia.aspx" TargetMode="External"/><Relationship Id="rId57" Type="http://schemas.openxmlformats.org/officeDocument/2006/relationships/hyperlink" Target="http://www.fitfortravel.scot.nhs.uk/destinations/africa/cameroon.aspx" TargetMode="External"/><Relationship Id="rId10" Type="http://schemas.openxmlformats.org/officeDocument/2006/relationships/hyperlink" Target="http://www.fitfortravel.scot.nhs.uk/destinations/africa/swaziland.aspx" TargetMode="External"/><Relationship Id="rId31" Type="http://schemas.openxmlformats.org/officeDocument/2006/relationships/hyperlink" Target="http://www.fitfortravel.scot.nhs.uk/destinations/africa/madagascar.aspx" TargetMode="External"/><Relationship Id="rId44" Type="http://schemas.openxmlformats.org/officeDocument/2006/relationships/hyperlink" Target="http://www.fitfortravel.scot.nhs.uk/destinations/africa/guinea.aspx" TargetMode="External"/><Relationship Id="rId52" Type="http://schemas.openxmlformats.org/officeDocument/2006/relationships/hyperlink" Target="http://www.fitfortravel.scot.nhs.uk/destinations/africa/democratic-republic-of-congo.aspx" TargetMode="External"/><Relationship Id="rId60" Type="http://schemas.openxmlformats.org/officeDocument/2006/relationships/hyperlink" Target="http://www.fitfortravel.scot.nhs.uk/destinations/asia-(east)/bhutan.aspx" TargetMode="External"/><Relationship Id="rId4" Type="http://schemas.openxmlformats.org/officeDocument/2006/relationships/hyperlink" Target="http://www.fitfortravel.scot.nhs.uk/destinations/africa/uganda.aspx" TargetMode="External"/><Relationship Id="rId9" Type="http://schemas.openxmlformats.org/officeDocument/2006/relationships/hyperlink" Target="http://www.fitfortravel.scot.nhs.uk/destinations/middle-east/syria.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I264"/>
  <sheetViews>
    <sheetView showGridLines="0" tabSelected="1" topLeftCell="A248" zoomScaleNormal="100" workbookViewId="0">
      <selection activeCell="C251" sqref="C251"/>
    </sheetView>
  </sheetViews>
  <sheetFormatPr defaultRowHeight="25.15" customHeight="1"/>
  <cols>
    <col min="2" max="2" width="34.140625" style="17" customWidth="1"/>
    <col min="3" max="3" width="25.28515625" style="16" customWidth="1"/>
    <col min="4" max="4" width="16.28515625" style="16" customWidth="1"/>
    <col min="5" max="5" width="8.85546875" style="16"/>
  </cols>
  <sheetData>
    <row r="1" spans="2:5" ht="25.15" customHeight="1">
      <c r="B1" s="18" t="s">
        <v>0</v>
      </c>
    </row>
    <row r="2" spans="2:5" ht="109.9" customHeight="1">
      <c r="B2" s="99" t="s">
        <v>321</v>
      </c>
      <c r="C2" s="99"/>
      <c r="D2" s="99"/>
      <c r="E2" s="99"/>
    </row>
    <row r="3" spans="2:5" ht="25.15" customHeight="1" thickBot="1"/>
    <row r="4" spans="2:5" ht="25.15" customHeight="1" thickBot="1">
      <c r="B4" s="54" t="s">
        <v>184</v>
      </c>
      <c r="C4" s="55"/>
      <c r="D4" s="56" t="s">
        <v>185</v>
      </c>
      <c r="E4" s="68"/>
    </row>
    <row r="5" spans="2:5" ht="25.15" customHeight="1" thickBot="1">
      <c r="B5" s="28" t="s">
        <v>181</v>
      </c>
      <c r="C5" s="173" t="s">
        <v>253</v>
      </c>
      <c r="D5" s="174"/>
      <c r="E5" s="175"/>
    </row>
    <row r="6" spans="2:5" ht="42.6" customHeight="1" thickBot="1">
      <c r="B6" s="57" t="s">
        <v>165</v>
      </c>
      <c r="C6" s="106"/>
      <c r="D6" s="107"/>
      <c r="E6" s="108"/>
    </row>
    <row r="7" spans="2:5" ht="41.45" customHeight="1" thickBot="1">
      <c r="B7" s="27" t="s">
        <v>166</v>
      </c>
      <c r="C7" s="31"/>
      <c r="D7" s="67" t="str">
        <f>IF(Sheet2!B12="Ment","2a. From man to woman or woman to man?","2a. NA")</f>
        <v>2a. NA</v>
      </c>
      <c r="E7" s="32"/>
    </row>
    <row r="8" spans="2:5" ht="31.9" customHeight="1" thickBot="1">
      <c r="B8" s="57" t="s">
        <v>167</v>
      </c>
      <c r="C8" s="31"/>
      <c r="D8" s="109"/>
      <c r="E8" s="108"/>
    </row>
    <row r="9" spans="2:5" ht="42.6" customHeight="1" thickBot="1">
      <c r="B9" s="27" t="s">
        <v>168</v>
      </c>
      <c r="C9" s="106"/>
      <c r="D9" s="107"/>
      <c r="E9" s="108"/>
    </row>
    <row r="10" spans="2:5" ht="34.9" customHeight="1" thickBot="1">
      <c r="B10" s="57" t="s">
        <v>169</v>
      </c>
      <c r="C10" s="31"/>
      <c r="D10" s="107"/>
      <c r="E10" s="108"/>
    </row>
    <row r="11" spans="2:5" ht="19.899999999999999" customHeight="1" thickBot="1">
      <c r="B11" s="93"/>
      <c r="C11" s="94"/>
      <c r="D11" s="94"/>
      <c r="E11" s="95"/>
    </row>
    <row r="12" spans="2:5" ht="25.15" customHeight="1" thickBot="1">
      <c r="B12" s="25" t="s">
        <v>189</v>
      </c>
      <c r="C12" s="170"/>
      <c r="D12" s="171"/>
      <c r="E12" s="172"/>
    </row>
    <row r="13" spans="2:5" ht="36" customHeight="1">
      <c r="B13" s="59" t="s">
        <v>190</v>
      </c>
      <c r="C13" s="110"/>
      <c r="D13" s="111"/>
      <c r="E13" s="112"/>
    </row>
    <row r="14" spans="2:5" ht="40.9" customHeight="1">
      <c r="B14" s="60" t="s">
        <v>191</v>
      </c>
      <c r="C14" s="110"/>
      <c r="D14" s="111"/>
      <c r="E14" s="112"/>
    </row>
    <row r="15" spans="2:5" ht="36" customHeight="1">
      <c r="B15" s="60" t="s">
        <v>192</v>
      </c>
      <c r="C15" s="110"/>
      <c r="D15" s="111"/>
      <c r="E15" s="112"/>
    </row>
    <row r="16" spans="2:5" ht="25.15" customHeight="1">
      <c r="B16" s="60" t="s">
        <v>193</v>
      </c>
      <c r="C16" s="110"/>
      <c r="D16" s="111"/>
      <c r="E16" s="112"/>
    </row>
    <row r="17" spans="2:5" ht="25.15" customHeight="1">
      <c r="B17" s="60" t="s">
        <v>194</v>
      </c>
      <c r="C17" s="110"/>
      <c r="D17" s="111"/>
      <c r="E17" s="112"/>
    </row>
    <row r="18" spans="2:5" ht="25.15" customHeight="1">
      <c r="B18" s="60" t="s">
        <v>195</v>
      </c>
      <c r="C18" s="110"/>
      <c r="D18" s="111"/>
      <c r="E18" s="112"/>
    </row>
    <row r="19" spans="2:5" ht="25.15" customHeight="1">
      <c r="B19" s="60" t="s">
        <v>196</v>
      </c>
      <c r="C19" s="110"/>
      <c r="D19" s="111"/>
      <c r="E19" s="112"/>
    </row>
    <row r="20" spans="2:5" ht="25.15" customHeight="1">
      <c r="B20" s="60" t="s">
        <v>197</v>
      </c>
      <c r="C20" s="110"/>
      <c r="D20" s="111"/>
      <c r="E20" s="112"/>
    </row>
    <row r="21" spans="2:5" ht="25.15" customHeight="1" thickBot="1">
      <c r="B21" s="61" t="s">
        <v>198</v>
      </c>
      <c r="C21" s="128"/>
      <c r="D21" s="129"/>
      <c r="E21" s="130"/>
    </row>
    <row r="22" spans="2:5" ht="28.15" customHeight="1">
      <c r="B22" s="58" t="s">
        <v>199</v>
      </c>
      <c r="C22" s="125"/>
      <c r="D22" s="126"/>
      <c r="E22" s="127"/>
    </row>
    <row r="23" spans="2:5" ht="30" customHeight="1">
      <c r="B23" s="62" t="str">
        <f>IF(C$22="Email","7a. What language do you prefer? ",IF(C$22="Letter","7a. What language do you prefer? ","7a. NA"))</f>
        <v>7a. NA</v>
      </c>
      <c r="C23" s="119"/>
      <c r="D23" s="120"/>
      <c r="E23" s="121"/>
    </row>
    <row r="24" spans="2:5" ht="32.450000000000003" customHeight="1">
      <c r="B24" s="63" t="str">
        <f>IF(C$22="Email","7b. Would you prefer large font?",IF(C$22="Letter","7b. Would you prefer large font?","7b. NA"))</f>
        <v>7b. NA</v>
      </c>
      <c r="C24" s="122"/>
      <c r="D24" s="123"/>
      <c r="E24" s="124"/>
    </row>
    <row r="25" spans="2:5" ht="24.6" customHeight="1">
      <c r="B25" s="63" t="str">
        <f>IF(C$22="Email","7c. Would you like Easy Read versions?",IF(C$22="Letter","7c. Would you like Easy Read versions?","7c. NA"))</f>
        <v>7c. NA</v>
      </c>
      <c r="C25" s="119"/>
      <c r="D25" s="120"/>
      <c r="E25" s="121"/>
    </row>
    <row r="26" spans="2:5" ht="25.15" customHeight="1" thickBot="1">
      <c r="B26" s="64" t="str">
        <f>IF(C$22="Phone","7d. Do you need an interpreter line?","7d. NA")</f>
        <v>7d. NA</v>
      </c>
      <c r="C26" s="116"/>
      <c r="D26" s="117"/>
      <c r="E26" s="118"/>
    </row>
    <row r="27" spans="2:5" ht="25.15" customHeight="1">
      <c r="B27" s="29" t="s">
        <v>200</v>
      </c>
      <c r="C27" s="137"/>
      <c r="D27" s="138"/>
      <c r="E27" s="139"/>
    </row>
    <row r="28" spans="2:5" ht="25.15" customHeight="1">
      <c r="B28" s="60" t="str">
        <f>IF(C$27="Yes","8a. What is the carer's name?","8a. NA")</f>
        <v>8a. NA</v>
      </c>
      <c r="C28" s="119"/>
      <c r="D28" s="120"/>
      <c r="E28" s="121"/>
    </row>
    <row r="29" spans="2:5" ht="25.15" customHeight="1">
      <c r="B29" s="60" t="str">
        <f>IF(C$27="Yes","8b. What is the carer's address?","8b. NA")</f>
        <v>8b. NA</v>
      </c>
      <c r="C29" s="119"/>
      <c r="D29" s="120"/>
      <c r="E29" s="121"/>
    </row>
    <row r="30" spans="2:5" ht="33" customHeight="1">
      <c r="B30" s="60" t="str">
        <f>IF(C$27="Yes","8c. What is the carer's telephone number?","8c. NA")</f>
        <v>8c. NA</v>
      </c>
      <c r="C30" s="119"/>
      <c r="D30" s="120"/>
      <c r="E30" s="121"/>
    </row>
    <row r="31" spans="2:5" ht="25.15" customHeight="1">
      <c r="B31" s="60" t="str">
        <f>IF(C$27="Yes","8d. What is the carer's email address?","8d. NA")</f>
        <v>8d. NA</v>
      </c>
      <c r="C31" s="119"/>
      <c r="D31" s="120"/>
      <c r="E31" s="121"/>
    </row>
    <row r="32" spans="2:5" ht="25.15" customHeight="1">
      <c r="B32" s="60" t="str">
        <f>IF(C$27="Yes","8e. Does this person attend with you?","8e. NA")</f>
        <v>8e. NA</v>
      </c>
      <c r="C32" s="122"/>
      <c r="D32" s="123"/>
      <c r="E32" s="124"/>
    </row>
    <row r="33" spans="2:5" ht="48.6" customHeight="1">
      <c r="B33" s="60" t="s">
        <v>252</v>
      </c>
      <c r="C33" s="33"/>
      <c r="D33" s="65" t="str">
        <f>IF(C$33="Yes","8fa. What is your relationship to the person?","8fa. NA")</f>
        <v>8fa. NA</v>
      </c>
      <c r="E33" s="34"/>
    </row>
    <row r="34" spans="2:5" ht="43.9" customHeight="1" thickBot="1">
      <c r="B34" s="61" t="str">
        <f>IF(C$33="Yes","8g. Do you have a carers support plan?","8g. NA")</f>
        <v>8g. NA</v>
      </c>
      <c r="C34" s="35"/>
      <c r="D34" s="66" t="str">
        <f>IF(C34="No","8ga. Has one been offered?","8ga. NA")</f>
        <v>8ga. NA</v>
      </c>
      <c r="E34" s="36"/>
    </row>
    <row r="35" spans="2:5" ht="39" customHeight="1" thickBot="1">
      <c r="B35" s="57" t="s">
        <v>201</v>
      </c>
      <c r="C35" s="31"/>
      <c r="D35" s="102" t="s">
        <v>319</v>
      </c>
      <c r="E35" s="103"/>
    </row>
    <row r="36" spans="2:5" ht="25.15" customHeight="1">
      <c r="B36" s="29" t="s">
        <v>203</v>
      </c>
      <c r="C36" s="131"/>
      <c r="D36" s="132"/>
      <c r="E36" s="133"/>
    </row>
    <row r="37" spans="2:5" ht="25.15" customHeight="1">
      <c r="B37" s="60" t="s">
        <v>204</v>
      </c>
      <c r="C37" s="122"/>
      <c r="D37" s="123"/>
      <c r="E37" s="124"/>
    </row>
    <row r="38" spans="2:5" ht="25.15" customHeight="1">
      <c r="B38" s="60" t="s">
        <v>205</v>
      </c>
      <c r="C38" s="122"/>
      <c r="D38" s="123"/>
      <c r="E38" s="124"/>
    </row>
    <row r="39" spans="2:5" ht="28.9" customHeight="1">
      <c r="B39" s="60" t="s">
        <v>206</v>
      </c>
      <c r="C39" s="122"/>
      <c r="D39" s="123"/>
      <c r="E39" s="124"/>
    </row>
    <row r="40" spans="2:5" ht="25.15" customHeight="1">
      <c r="B40" s="60" t="s">
        <v>207</v>
      </c>
      <c r="C40" s="122"/>
      <c r="D40" s="123"/>
      <c r="E40" s="124"/>
    </row>
    <row r="41" spans="2:5" ht="31.15" customHeight="1" thickBot="1">
      <c r="B41" s="61" t="s">
        <v>208</v>
      </c>
      <c r="C41" s="134"/>
      <c r="D41" s="135"/>
      <c r="E41" s="136"/>
    </row>
    <row r="42" spans="2:5" ht="91.15" customHeight="1">
      <c r="B42" s="58" t="s">
        <v>209</v>
      </c>
      <c r="C42" s="37"/>
      <c r="D42" s="69" t="str">
        <f>IF(C42="Yes","11a. How much?","11.a Have you ever?")</f>
        <v>11.a Have you ever?</v>
      </c>
      <c r="E42" s="38"/>
    </row>
    <row r="43" spans="2:5" ht="25.15" customHeight="1" thickBot="1">
      <c r="B43" s="64" t="str">
        <f>IF(C42="yes","11b. Would you like help to stop smoking?","11b. NA")</f>
        <v>11b. NA</v>
      </c>
      <c r="C43" s="116"/>
      <c r="D43" s="117"/>
      <c r="E43" s="118"/>
    </row>
    <row r="44" spans="2:5" ht="13.15" customHeight="1" thickBot="1">
      <c r="B44" s="93"/>
      <c r="C44" s="94"/>
      <c r="D44" s="94"/>
      <c r="E44" s="95"/>
    </row>
    <row r="45" spans="2:5" ht="18.600000000000001" customHeight="1" thickBot="1">
      <c r="B45" s="96" t="s">
        <v>386</v>
      </c>
      <c r="C45" s="97"/>
      <c r="D45" s="97"/>
      <c r="E45" s="98"/>
    </row>
    <row r="46" spans="2:5" ht="25.15" customHeight="1">
      <c r="B46" s="29" t="s">
        <v>210</v>
      </c>
      <c r="C46" s="137"/>
      <c r="D46" s="138"/>
      <c r="E46" s="139"/>
    </row>
    <row r="47" spans="2:5" ht="63.6" customHeight="1" thickBot="1">
      <c r="B47" s="61" t="str">
        <f>IF(C46="Yes","12a. How much? (1 unit = 1 small glass of wine or 1 single measure of spirit or 1 half pint (standard strength) beer)","12a. NA")</f>
        <v>12a. NA</v>
      </c>
      <c r="C47" s="134"/>
      <c r="D47" s="135"/>
      <c r="E47" s="136"/>
    </row>
    <row r="48" spans="2:5" ht="34.9" customHeight="1">
      <c r="B48" s="58" t="s">
        <v>211</v>
      </c>
      <c r="C48" s="131"/>
      <c r="D48" s="132"/>
      <c r="E48" s="133"/>
    </row>
    <row r="49" spans="2:7" ht="41.45" customHeight="1">
      <c r="B49" s="62" t="str">
        <f>IF(C$48="Yes","13a. Ilegal drugs?","13a. NA")</f>
        <v>13a. NA</v>
      </c>
      <c r="C49" s="39"/>
      <c r="D49" s="70" t="str">
        <f>IF(C49="Yes","13aa. When was the last time you injected?","13aa. NA")</f>
        <v>13aa. NA</v>
      </c>
      <c r="E49" s="40"/>
    </row>
    <row r="50" spans="2:7" ht="44.45" customHeight="1">
      <c r="B50" s="62" t="str">
        <f>IF(C$48="Yes","13b. New psychoactive substances?","13b. NA")</f>
        <v>13b. NA</v>
      </c>
      <c r="C50" s="39"/>
      <c r="D50" s="70" t="str">
        <f>IF(C50="Yes","13ba. When was the last time you injected?","13ba. NA")</f>
        <v>13ba. NA</v>
      </c>
      <c r="E50" s="40"/>
      <c r="G50" s="30"/>
    </row>
    <row r="51" spans="2:7" ht="41.45" customHeight="1" thickBot="1">
      <c r="B51" s="64" t="str">
        <f>IF(C$48="Yes","13c. Performance enhancing drugs?","13c. NA")</f>
        <v>13c. NA</v>
      </c>
      <c r="C51" s="41"/>
      <c r="D51" s="71" t="str">
        <f>IF(C51="Yes","13ca. When was the last time you injected?","13ca. NA")</f>
        <v>13ca. NA</v>
      </c>
      <c r="E51" s="42"/>
    </row>
    <row r="52" spans="2:7" ht="25.15" customHeight="1">
      <c r="B52" s="29" t="s">
        <v>385</v>
      </c>
      <c r="C52" s="137"/>
      <c r="D52" s="138"/>
      <c r="E52" s="139"/>
    </row>
    <row r="53" spans="2:7" ht="42" customHeight="1">
      <c r="B53" s="60" t="str">
        <f>IF(C$52="Yes","14a. Ilegal drugs?","14a. NA")</f>
        <v>14a. NA</v>
      </c>
      <c r="C53" s="39"/>
      <c r="D53" s="70" t="str">
        <f>IF(C53="Yes","14aa. When was the last time you injected?","14aa. NA")</f>
        <v>14aa. NA</v>
      </c>
      <c r="E53" s="40"/>
    </row>
    <row r="54" spans="2:7" ht="40.15" customHeight="1">
      <c r="B54" s="60" t="str">
        <f>IF(C$52="Yes","14b. New psychoactive substances?","14b. NA")</f>
        <v>14b. NA</v>
      </c>
      <c r="C54" s="39"/>
      <c r="D54" s="70" t="str">
        <f>IF(C54="Yes","14ba. When was the last time you injected?","14ba. NA")</f>
        <v>14ba. NA</v>
      </c>
      <c r="E54" s="40"/>
    </row>
    <row r="55" spans="2:7" ht="43.15" customHeight="1" thickBot="1">
      <c r="B55" s="61" t="str">
        <f>IF(C$52="Yes","14c. Performance enhancing drugs?","14c. NA")</f>
        <v>14c. NA</v>
      </c>
      <c r="C55" s="41"/>
      <c r="D55" s="71" t="str">
        <f>IF(C55="Yes","14ca. When was the last time you injected?","14ca. NA")</f>
        <v>14ca. NA</v>
      </c>
      <c r="E55" s="42"/>
    </row>
    <row r="56" spans="2:7" ht="45" customHeight="1">
      <c r="B56" s="58" t="s">
        <v>212</v>
      </c>
      <c r="C56" s="43"/>
      <c r="D56" s="176" t="str">
        <f>IF(C56&gt;4,"[Offer positive reinforcement]","")</f>
        <v/>
      </c>
      <c r="E56" s="172"/>
    </row>
    <row r="57" spans="2:7" ht="63.6" customHeight="1">
      <c r="B57" s="62" t="str">
        <f>IF(C56&lt;5,"15a. Have you been physically active for at least two and a half hours (150 minutes) over the course of the past week?","15a. NA")</f>
        <v>15a. Have you been physically active for at least two and a half hours (150 minutes) over the course of the past week?</v>
      </c>
      <c r="C57" s="39"/>
      <c r="D57" s="177" t="str">
        <f>IF(C57="yes","[Offer positive reinforcement]","")</f>
        <v/>
      </c>
      <c r="E57" s="178"/>
    </row>
    <row r="58" spans="2:7" ht="43.15" customHeight="1" thickBot="1">
      <c r="B58" s="64" t="str">
        <f>IF(AND(C57="No",C56&lt;5),"15b. Are you interested in being more physically active?","15b. NA")</f>
        <v>15b. NA</v>
      </c>
      <c r="C58" s="44"/>
      <c r="D58" s="168" t="str">
        <f>IF(C58="yes","[Offer brief advice and or brief intervention]",IF(C58="no","[Offer physical activity leaflet]",""))</f>
        <v/>
      </c>
      <c r="E58" s="169"/>
    </row>
    <row r="59" spans="2:7" ht="34.15" customHeight="1" thickBot="1">
      <c r="B59" s="26" t="s">
        <v>213</v>
      </c>
      <c r="C59" s="106"/>
      <c r="D59" s="107"/>
      <c r="E59" s="108"/>
    </row>
    <row r="60" spans="2:7" ht="29.45" customHeight="1" thickBot="1">
      <c r="B60" s="58" t="s">
        <v>214</v>
      </c>
      <c r="C60" s="140"/>
      <c r="D60" s="141"/>
      <c r="E60" s="142"/>
    </row>
    <row r="61" spans="2:7" ht="25.15" customHeight="1">
      <c r="B61" s="62" t="str">
        <f>IF(C$60="Yes","17a. Are any drug related?","17a. NA")</f>
        <v>17a. NA</v>
      </c>
      <c r="C61" s="146"/>
      <c r="D61" s="147"/>
      <c r="E61" s="148"/>
    </row>
    <row r="62" spans="2:7" ht="25.15" customHeight="1" thickBot="1">
      <c r="B62" s="64" t="str">
        <f>IF(C$60="Yes","17b. Are any non-drug related?","17b. NA")</f>
        <v>17b. NA</v>
      </c>
      <c r="C62" s="143"/>
      <c r="D62" s="144"/>
      <c r="E62" s="145"/>
    </row>
    <row r="63" spans="2:7" ht="25.15" customHeight="1" thickBot="1">
      <c r="B63" s="27" t="s">
        <v>215</v>
      </c>
      <c r="C63" s="106"/>
      <c r="D63" s="107"/>
      <c r="E63" s="108"/>
    </row>
    <row r="64" spans="2:7" ht="31.9" customHeight="1" thickBot="1">
      <c r="B64" s="57" t="s">
        <v>216</v>
      </c>
      <c r="C64" s="45"/>
      <c r="D64" s="72" t="str">
        <f>IF(C64&gt;0,"19a. What dosage and frequency?","19a. NA")</f>
        <v>19a. NA</v>
      </c>
      <c r="E64" s="32"/>
    </row>
    <row r="65" spans="2:5" ht="28.9" customHeight="1">
      <c r="B65" s="29" t="s">
        <v>217</v>
      </c>
      <c r="C65" s="125"/>
      <c r="D65" s="126"/>
      <c r="E65" s="127"/>
    </row>
    <row r="66" spans="2:5" ht="25.15" customHeight="1">
      <c r="B66" s="60" t="str">
        <f>IF(C$65="Yes","20a. Do you have heart disease?","20a. NA")</f>
        <v>20a. NA</v>
      </c>
      <c r="C66" s="122"/>
      <c r="D66" s="123"/>
      <c r="E66" s="124"/>
    </row>
    <row r="67" spans="2:5" ht="42" customHeight="1">
      <c r="B67" s="73" t="str">
        <f>IF(C$66="Yes","20aa. Have you had Aortic valve stenosis?","20aa. NA")</f>
        <v>20aa. NA</v>
      </c>
      <c r="C67" s="39"/>
      <c r="D67" s="70" t="str">
        <f>IF(C67="Yes","20aaa. What was the approx date of diagnosis?","20aaa. NA")</f>
        <v>20aaa. NA</v>
      </c>
      <c r="E67" s="34"/>
    </row>
    <row r="68" spans="2:5" ht="42" customHeight="1">
      <c r="B68" s="60" t="str">
        <f>IF(C$66="Yes","20ab. Have you had an MI?","20ab. NA")</f>
        <v>20ab. NA</v>
      </c>
      <c r="C68" s="46"/>
      <c r="D68" s="66" t="str">
        <f>IF(C68="Yes","20aba. What was the approx date of diagnosis?","20aba. NA")</f>
        <v>20aba. NA</v>
      </c>
      <c r="E68" s="36"/>
    </row>
    <row r="69" spans="2:5" ht="42" customHeight="1">
      <c r="B69" s="60" t="str">
        <f>IF(C$65="Yes","20b. Have you had a stroke?","20b. NA")</f>
        <v>20b. NA</v>
      </c>
      <c r="C69" s="39"/>
      <c r="D69" s="70" t="str">
        <f>IF(C69="Yes","20ba. What was the approx date of diagnosis?","20ba. NA")</f>
        <v>20ba. NA</v>
      </c>
      <c r="E69" s="40"/>
    </row>
    <row r="70" spans="2:5" ht="42" customHeight="1">
      <c r="B70" s="60" t="str">
        <f>IF(C$65="Yes","20c. Do you have high blood pressure?","20c. NA")</f>
        <v>20c. NA</v>
      </c>
      <c r="C70" s="39"/>
      <c r="D70" s="70" t="str">
        <f>IF(C70="Yes","20ca. What was the approx date of diagnosis?","20ca. NA")</f>
        <v>20ca. NA</v>
      </c>
      <c r="E70" s="40"/>
    </row>
    <row r="71" spans="2:5" ht="42" customHeight="1">
      <c r="B71" s="60" t="str">
        <f>IF(C$65="Yes","20d. Do you have asthma?","20d. NA")</f>
        <v>20d. NA</v>
      </c>
      <c r="C71" s="39"/>
      <c r="D71" s="70" t="str">
        <f>IF(C71="Yes","20da. What was the approx date of diagnosis?","20da. NA")</f>
        <v>20da. NA</v>
      </c>
      <c r="E71" s="40"/>
    </row>
    <row r="72" spans="2:5" ht="42" customHeight="1">
      <c r="B72" s="60" t="str">
        <f>IF(C$65="Yes","20e. Do you have diabetes?","20e. NA")</f>
        <v>20e. NA</v>
      </c>
      <c r="C72" s="39"/>
      <c r="D72" s="70" t="str">
        <f>IF(C72="Yes","20ea. What was the approx date of diagnosis?","20ea. NA")</f>
        <v>20ea. NA</v>
      </c>
      <c r="E72" s="40"/>
    </row>
    <row r="73" spans="2:5" ht="42" customHeight="1">
      <c r="B73" s="60" t="str">
        <f>IF(C$65="Yes","20f. Do you have Chronic Obstructive Pulmonary Disease?","20f. NA")</f>
        <v>20f. NA</v>
      </c>
      <c r="C73" s="39"/>
      <c r="D73" s="70" t="str">
        <f>IF(C73="Yes","20fa. What was the approx date of diagnosis?","20fa. NA")</f>
        <v>20fa. NA</v>
      </c>
      <c r="E73" s="40"/>
    </row>
    <row r="74" spans="2:5" ht="42" customHeight="1">
      <c r="B74" s="60" t="str">
        <f>IF(C$65="Yes","20g. Do you have epilepsy?","20g. NA")</f>
        <v>20g. NA</v>
      </c>
      <c r="C74" s="39"/>
      <c r="D74" s="70" t="str">
        <f>IF(C74="Yes","20ga. What was the approx date of diagnosis?","20ga. NA")</f>
        <v>20ga. NA</v>
      </c>
      <c r="E74" s="40"/>
    </row>
    <row r="75" spans="2:5" ht="42" customHeight="1">
      <c r="B75" s="60" t="str">
        <f>IF(C$65="Yes","20h. Do you have Hypothyroidism (Thyroid Deficiency)?","20h. NA")</f>
        <v>20h. NA</v>
      </c>
      <c r="C75" s="39"/>
      <c r="D75" s="70" t="str">
        <f>IF(C75="Yes","20ha. What was the approx date of diagnosis?","20ha. NA")</f>
        <v>20ha. NA</v>
      </c>
      <c r="E75" s="40"/>
    </row>
    <row r="76" spans="2:5" ht="42" customHeight="1">
      <c r="B76" s="60" t="str">
        <f>IF(C$65="Yes","20i. Do you have cancer?","20i. NA")</f>
        <v>20i. NA</v>
      </c>
      <c r="C76" s="39"/>
      <c r="D76" s="70" t="str">
        <f>IF(C76="Yes","20ja. What was the approx date of diagnosis?","20ja. NA")</f>
        <v>20ja. NA</v>
      </c>
      <c r="E76" s="40"/>
    </row>
    <row r="77" spans="2:5" ht="42" customHeight="1">
      <c r="B77" s="60" t="str">
        <f>IF(C$65="Yes","20k. Do you have Chronic kidney disease?","20k. NA")</f>
        <v>20k. NA</v>
      </c>
      <c r="C77" s="39"/>
      <c r="D77" s="70" t="str">
        <f>IF(C77="Yes","20ka. What was the approx date of diagnosis?","20ka. NA")</f>
        <v>20ka. NA</v>
      </c>
      <c r="E77" s="40"/>
    </row>
    <row r="78" spans="2:5" ht="25.15" customHeight="1" thickBot="1">
      <c r="B78" s="61" t="str">
        <f>IF(C$65="Yes","20l. Any other medical conditions?","20l. NA")</f>
        <v>20l. NA</v>
      </c>
      <c r="C78" s="152"/>
      <c r="D78" s="153"/>
      <c r="E78" s="154"/>
    </row>
    <row r="79" spans="2:5" ht="39.6" customHeight="1" thickBot="1">
      <c r="B79" s="58" t="s">
        <v>218</v>
      </c>
      <c r="C79" s="140"/>
      <c r="D79" s="141"/>
      <c r="E79" s="142"/>
    </row>
    <row r="80" spans="2:5" ht="25.15" customHeight="1">
      <c r="B80" s="62" t="str">
        <f>IF(C$79="Yes","21a. Who is concerned?","21a. NA")</f>
        <v>21a. NA</v>
      </c>
      <c r="C80" s="110"/>
      <c r="D80" s="111"/>
      <c r="E80" s="112"/>
    </row>
    <row r="81" spans="2:5" ht="25.15" customHeight="1" thickBot="1">
      <c r="B81" s="64" t="str">
        <f>IF(C$79="Yes","21b. What are the problems?","21b. NA")</f>
        <v>21b. NA</v>
      </c>
      <c r="C81" s="134"/>
      <c r="D81" s="135"/>
      <c r="E81" s="136"/>
    </row>
    <row r="82" spans="2:5" ht="32.450000000000003" customHeight="1">
      <c r="B82" s="29" t="s">
        <v>219</v>
      </c>
      <c r="C82" s="149"/>
      <c r="D82" s="150"/>
      <c r="E82" s="151"/>
    </row>
    <row r="83" spans="2:5" ht="41.45" customHeight="1">
      <c r="B83" s="60" t="str">
        <f>IF(C$82="Yes","22a. What were your past symptoms?","22a. NA")</f>
        <v>22a. NA</v>
      </c>
      <c r="C83" s="39"/>
      <c r="D83" s="70" t="str">
        <f>IF(C83&gt;0,"22aa. What medications were you on?","22aa. NA")</f>
        <v>22aa. NA</v>
      </c>
      <c r="E83" s="40"/>
    </row>
    <row r="84" spans="2:5" ht="45" customHeight="1">
      <c r="B84" s="60" t="str">
        <f>IF(C$82="Yes","22b. What are your current symptoms?","22b. NA")</f>
        <v>22b. NA</v>
      </c>
      <c r="C84" s="39"/>
      <c r="D84" s="70" t="str">
        <f>IF(C84&gt;0,"22ba. What medication are you on?","22ba. NA")</f>
        <v>22ba. NA</v>
      </c>
      <c r="E84" s="36"/>
    </row>
    <row r="85" spans="2:5" ht="25.15" customHeight="1">
      <c r="B85" s="60" t="str">
        <f>IF(C$82="Yes","22c. What treatment did you receive?","22c. NA")</f>
        <v>22c. NA</v>
      </c>
      <c r="C85" s="122"/>
      <c r="D85" s="123"/>
      <c r="E85" s="124"/>
    </row>
    <row r="86" spans="2:5" ht="34.9" customHeight="1">
      <c r="B86" s="60" t="str">
        <f>IF(C$82="Yes","22d. What is your perspective of your present mental well-being?","22d. NA")</f>
        <v>22d. NA</v>
      </c>
      <c r="C86" s="122"/>
      <c r="D86" s="123"/>
      <c r="E86" s="124"/>
    </row>
    <row r="87" spans="2:5" ht="31.15" customHeight="1" thickBot="1">
      <c r="B87" s="61" t="str">
        <f>IF(C$82="Yes","22e. Do you have any current issues, worries or concerns?","22e. NA")</f>
        <v>22e. NA</v>
      </c>
      <c r="C87" s="134"/>
      <c r="D87" s="135"/>
      <c r="E87" s="136"/>
    </row>
    <row r="88" spans="2:5" ht="44.45" customHeight="1" thickBot="1">
      <c r="B88" s="57" t="s">
        <v>220</v>
      </c>
      <c r="C88" s="31"/>
      <c r="D88" s="72" t="str">
        <f>IF(C88&gt;0,"23a. How severe is it?","23a. NA")</f>
        <v>23a. NA</v>
      </c>
      <c r="E88" s="32"/>
    </row>
    <row r="89" spans="2:5" ht="36" customHeight="1" thickBot="1">
      <c r="B89" s="27" t="s">
        <v>221</v>
      </c>
      <c r="C89" s="106"/>
      <c r="D89" s="107"/>
      <c r="E89" s="108"/>
    </row>
    <row r="90" spans="2:5" ht="47.45" customHeight="1" thickBot="1">
      <c r="B90" s="57" t="s">
        <v>222</v>
      </c>
      <c r="C90" s="31"/>
      <c r="D90" s="72" t="str">
        <f>IF(C90&gt;0,"25a. What is the dosage and frequency?","25a. NA")</f>
        <v>25a. NA</v>
      </c>
      <c r="E90" s="32"/>
    </row>
    <row r="91" spans="2:5" ht="35.450000000000003" customHeight="1">
      <c r="B91" s="29" t="s">
        <v>223</v>
      </c>
      <c r="C91" s="125"/>
      <c r="D91" s="126"/>
      <c r="E91" s="127"/>
    </row>
    <row r="92" spans="2:5" ht="25.15" customHeight="1">
      <c r="B92" s="60" t="str">
        <f>IF(C$91="Yes","26a. Has anybody had heart disease?","26a. NA")</f>
        <v>26a. NA</v>
      </c>
      <c r="C92" s="122"/>
      <c r="D92" s="123"/>
      <c r="E92" s="124"/>
    </row>
    <row r="93" spans="2:5" ht="34.9" customHeight="1">
      <c r="B93" s="73" t="str">
        <f>IF(C$92="Yes","26aa. Do you know if they had Aortic valve stenosis?","26aa. NA")</f>
        <v>26aa. NA</v>
      </c>
      <c r="C93" s="122"/>
      <c r="D93" s="123"/>
      <c r="E93" s="124"/>
    </row>
    <row r="94" spans="2:5" ht="36.6" customHeight="1">
      <c r="B94" s="74" t="str">
        <f>IF(C$93="Yes","26aaa. Who was affected?","26aaa. NA")</f>
        <v>26aaa. NA</v>
      </c>
      <c r="C94" s="39"/>
      <c r="D94" s="76" t="str">
        <f>IF(C94&gt;0,"26aaaa. How old were they?","26aaaa. NA")</f>
        <v>26aaaa. NA</v>
      </c>
      <c r="E94" s="34"/>
    </row>
    <row r="95" spans="2:5" ht="33" customHeight="1">
      <c r="B95" s="73" t="str">
        <f>IF(C$92="Yes","26ab. Do you know if they had an MI?","26ab. NA")</f>
        <v>26ab. NA</v>
      </c>
      <c r="C95" s="155"/>
      <c r="D95" s="156"/>
      <c r="E95" s="157"/>
    </row>
    <row r="96" spans="2:5" ht="38.450000000000003" customHeight="1">
      <c r="B96" s="74" t="str">
        <f>IF(C$95="Yes","26aba. Who was affected?","26aba. NA")</f>
        <v>26aba. NA</v>
      </c>
      <c r="C96" s="39"/>
      <c r="D96" s="70" t="str">
        <f>IF(C96&gt;0,"26abaa. How old were they?","26abaa. NA")</f>
        <v>26abaa. NA</v>
      </c>
      <c r="E96" s="40"/>
    </row>
    <row r="97" spans="2:5" ht="30" customHeight="1">
      <c r="B97" s="60" t="str">
        <f>IF(C$91="Yes","26b. Has anybody had High blood pressure?","26b. NA")</f>
        <v>26b. NA</v>
      </c>
      <c r="C97" s="122"/>
      <c r="D97" s="123"/>
      <c r="E97" s="124"/>
    </row>
    <row r="98" spans="2:5" ht="36" customHeight="1">
      <c r="B98" s="73" t="str">
        <f>IF(C$97="Yes","26ba. Who was affected?","26ba. NA")</f>
        <v>26ba. NA</v>
      </c>
      <c r="C98" s="47"/>
      <c r="D98" s="70" t="str">
        <f>IF(C98&gt;0,"26baa. How old were they?","26baa. NA")</f>
        <v>26baa. NA</v>
      </c>
      <c r="E98" s="40"/>
    </row>
    <row r="99" spans="2:5" ht="25.15" customHeight="1">
      <c r="B99" s="60" t="str">
        <f>IF(C$91="Yes","26c. Has anybody had Diabetes?","26c. NA")</f>
        <v>26c. NA</v>
      </c>
      <c r="C99" s="122"/>
      <c r="D99" s="123"/>
      <c r="E99" s="124"/>
    </row>
    <row r="100" spans="2:5" ht="36" customHeight="1">
      <c r="B100" s="73" t="str">
        <f>IF(C$99="Yes","26ca. Who was affected?","26ca. NA")</f>
        <v>26ca. NA</v>
      </c>
      <c r="C100" s="47"/>
      <c r="D100" s="70" t="str">
        <f>IF(C100&gt;0,"26caa. How old were they?","26caa. NA")</f>
        <v>26caa. NA</v>
      </c>
      <c r="E100" s="40"/>
    </row>
    <row r="101" spans="2:5" ht="30.6" customHeight="1">
      <c r="B101" s="60" t="str">
        <f>IF(C$91="Yes","26d. Has anybody had High Cholesterol?","26d. NA")</f>
        <v>26d. NA</v>
      </c>
      <c r="C101" s="122"/>
      <c r="D101" s="123"/>
      <c r="E101" s="124"/>
    </row>
    <row r="102" spans="2:5" ht="37.15" customHeight="1">
      <c r="B102" s="73" t="str">
        <f>IF(C$101="Yes","26da. Who was affected?","26da. NA")</f>
        <v>26da. NA</v>
      </c>
      <c r="C102" s="47"/>
      <c r="D102" s="70" t="str">
        <f>IF(C102&gt;0,"26daa. How old were they?","26daa. NA")</f>
        <v>26daa. NA</v>
      </c>
      <c r="E102" s="40"/>
    </row>
    <row r="103" spans="2:5" ht="25.15" customHeight="1">
      <c r="B103" s="60" t="str">
        <f>IF(C$91="Yes","26e. Has anybody had a Stroke?","26e. NA")</f>
        <v>26e. NA</v>
      </c>
      <c r="C103" s="122"/>
      <c r="D103" s="123"/>
      <c r="E103" s="124"/>
    </row>
    <row r="104" spans="2:5" ht="36.6" customHeight="1">
      <c r="B104" s="73" t="str">
        <f>IF(C$103="Yes","26ea. Who was affected?","26ea. NA")</f>
        <v>26ea. NA</v>
      </c>
      <c r="C104" s="47"/>
      <c r="D104" s="70" t="str">
        <f>IF(C104&gt;0,"26eaa. How old were they?","26eaa. NA")</f>
        <v>26eaa. NA</v>
      </c>
      <c r="E104" s="40"/>
    </row>
    <row r="105" spans="2:5" ht="25.15" customHeight="1">
      <c r="B105" s="60" t="str">
        <f>IF(C$91="Yes","26f. Has anybody had cancer?","26f. NA")</f>
        <v>26f. NA</v>
      </c>
      <c r="C105" s="122"/>
      <c r="D105" s="123"/>
      <c r="E105" s="124"/>
    </row>
    <row r="106" spans="2:5" ht="33" customHeight="1">
      <c r="B106" s="73" t="str">
        <f>IF(C$105="Yes","26fa. Who was affected?","26fa. NA")</f>
        <v>26fa. NA</v>
      </c>
      <c r="C106" s="47"/>
      <c r="D106" s="70" t="str">
        <f>IF(C106&gt;0,"26faa. How old were they?","26faa. NA")</f>
        <v>26faa. NA</v>
      </c>
      <c r="E106" s="36"/>
    </row>
    <row r="107" spans="2:5" ht="63.6" customHeight="1">
      <c r="B107" s="60" t="str">
        <f>IF(C$91="Yes","26g. Has anybody had any other illnesses (including relevant occupations e.g. engineering, exposure to metals and substances)?","26g. NA")</f>
        <v>26g. NA</v>
      </c>
      <c r="C107" s="122"/>
      <c r="D107" s="123"/>
      <c r="E107" s="124"/>
    </row>
    <row r="108" spans="2:5" ht="37.15" customHeight="1" thickBot="1">
      <c r="B108" s="75" t="str">
        <f>IF(C$107="Yes","26ga. Who was affected?","26ga. NA")</f>
        <v>26ga. NA</v>
      </c>
      <c r="C108" s="48"/>
      <c r="D108" s="70" t="str">
        <f>IF(C108&gt;0,"26gaa. How old were they?","26gaa. NA")</f>
        <v>26gaa. NA</v>
      </c>
      <c r="E108" s="49"/>
    </row>
    <row r="109" spans="2:5" ht="35.450000000000003" customHeight="1">
      <c r="B109" s="58" t="s">
        <v>224</v>
      </c>
      <c r="C109" s="137"/>
      <c r="D109" s="138"/>
      <c r="E109" s="139"/>
    </row>
    <row r="110" spans="2:5" ht="62.45" customHeight="1">
      <c r="B110" s="62" t="str">
        <f>IF(C$109="Yes","27a. Have you had D TaP/IPV (vaccine protects against diphtheria, tetanus, pertussis (whooping cough) and polio)?","27a. NA")</f>
        <v>27a. NA</v>
      </c>
      <c r="C110" s="122"/>
      <c r="D110" s="123"/>
      <c r="E110" s="124"/>
    </row>
    <row r="111" spans="2:5" ht="82.9" customHeight="1">
      <c r="B111" s="62" t="str">
        <f>IF(C$109="Yes","27b. Have you had D TaP/IPV/Hib (vaccine protects your child against diphtheria, tetanus, pertussis (whooping cough), polio and Haemophilus influenza type b (Hib)?","27b. NA")</f>
        <v>27b. NA</v>
      </c>
      <c r="C111" s="122"/>
      <c r="D111" s="123"/>
      <c r="E111" s="124"/>
    </row>
    <row r="112" spans="2:5" ht="49.9" customHeight="1">
      <c r="B112" s="62" t="str">
        <f>IF(C$109="Yes","27c. Have you had Td/IPV (protects against diphtheria, tetanus, pertussis (whooping cough) and polio)?","27c. NA")</f>
        <v>27c. NA</v>
      </c>
      <c r="C112" s="122"/>
      <c r="D112" s="123"/>
      <c r="E112" s="124"/>
    </row>
    <row r="113" spans="2:5" ht="59.45" customHeight="1">
      <c r="B113" s="62" t="str">
        <f>IF(C$109="Yes","27d. Have you had Hib/MenC (vaccine protects your baby against two of the causes of meningitis and septicaemia)?","27d. NA")</f>
        <v>27d. NA</v>
      </c>
      <c r="C113" s="122"/>
      <c r="D113" s="123"/>
      <c r="E113" s="124"/>
    </row>
    <row r="114" spans="2:5" ht="62.45" customHeight="1">
      <c r="B114" s="62" t="str">
        <f>IF(C$109="Yes","27e. Have you had HPV (The human papillomavirus (HPV) vaccine for girls aged 11 to 13 years helps protect against cervical cancer)?","27e. NA")</f>
        <v>27e. NA</v>
      </c>
      <c r="C114" s="122"/>
      <c r="D114" s="123"/>
      <c r="E114" s="124"/>
    </row>
    <row r="115" spans="2:5" ht="37.15" customHeight="1">
      <c r="B115" s="62" t="str">
        <f>IF(C$109="Yes","27f. Have you had MMR (protect you against measles, mumps and rubella)?","27f. NA")</f>
        <v>27f. NA</v>
      </c>
      <c r="C115" s="122"/>
      <c r="D115" s="123"/>
      <c r="E115" s="124"/>
    </row>
    <row r="116" spans="2:5" ht="25.15" customHeight="1">
      <c r="B116" s="62" t="str">
        <f>IF(C$109="Yes","27g. Have you had Pneumococcal?","27g. NA")</f>
        <v>27g. NA</v>
      </c>
      <c r="C116" s="122"/>
      <c r="D116" s="123"/>
      <c r="E116" s="124"/>
    </row>
    <row r="117" spans="2:5" ht="34.15" customHeight="1">
      <c r="B117" s="62" t="str">
        <f>IF(C$109="Yes","27h. Have you had Meningitis immunisation?","27h. NA")</f>
        <v>27h. NA</v>
      </c>
      <c r="C117" s="122"/>
      <c r="D117" s="123"/>
      <c r="E117" s="124"/>
    </row>
    <row r="118" spans="2:5" ht="32.450000000000003" customHeight="1">
      <c r="B118" s="77" t="str">
        <f>IF(C$117="Yes","27ha. Have you had Men B immunisation?","27ha. NA")</f>
        <v>27ha. NA</v>
      </c>
      <c r="C118" s="122"/>
      <c r="D118" s="123"/>
      <c r="E118" s="124"/>
    </row>
    <row r="119" spans="2:5" ht="34.15" customHeight="1">
      <c r="B119" s="77" t="str">
        <f>IF(C$117="Yes","27hb. Have you had MenC immunisation?","27hb. NA")</f>
        <v>27hb. NA</v>
      </c>
      <c r="C119" s="122"/>
      <c r="D119" s="123"/>
      <c r="E119" s="124"/>
    </row>
    <row r="120" spans="2:5" ht="33.6" customHeight="1">
      <c r="B120" s="77" t="str">
        <f>IF(C$117="Yes","27hc. Have you had MenACWY immunisation?","27hc. NA")</f>
        <v>27hc. NA</v>
      </c>
      <c r="C120" s="122"/>
      <c r="D120" s="123"/>
      <c r="E120" s="124"/>
    </row>
    <row r="121" spans="2:5" ht="36.6" customHeight="1">
      <c r="B121" s="62" t="str">
        <f>IF(C$109="Yes","27i. Have you been immunised against Whooping cough?","27i. NA")</f>
        <v>27i. NA</v>
      </c>
      <c r="C121" s="122"/>
      <c r="D121" s="123"/>
      <c r="E121" s="124"/>
    </row>
    <row r="122" spans="2:5" ht="36.6" customHeight="1">
      <c r="B122" s="62" t="str">
        <f>IF(C$109="Yes","27j. Have you been immunised against Rotavirus?","27j. NA")</f>
        <v>27j. NA</v>
      </c>
      <c r="C122" s="122"/>
      <c r="D122" s="123"/>
      <c r="E122" s="124"/>
    </row>
    <row r="123" spans="2:5" ht="33.6" customHeight="1">
      <c r="B123" s="62" t="str">
        <f>IF(C$109="Yes","27k. Have you had BCG (protects your baby against tuberculosis)?","27k. NA")</f>
        <v>27k. NA</v>
      </c>
      <c r="C123" s="122"/>
      <c r="D123" s="123"/>
      <c r="E123" s="124"/>
    </row>
    <row r="124" spans="2:5" ht="33.6" customHeight="1">
      <c r="B124" s="62" t="str">
        <f>IF(C$109="Yes","27l. Have you been immunised against Hepatitis B?","27l. NA")</f>
        <v>27l. NA</v>
      </c>
      <c r="C124" s="122"/>
      <c r="D124" s="123"/>
      <c r="E124" s="124"/>
    </row>
    <row r="125" spans="2:5" ht="35.450000000000003" customHeight="1">
      <c r="B125" s="62" t="str">
        <f>IF(C$109="Yes","27m. Have you been immunised against Flu?","27m. NA")</f>
        <v>27m. NA</v>
      </c>
      <c r="C125" s="122"/>
      <c r="D125" s="123"/>
      <c r="E125" s="124"/>
    </row>
    <row r="126" spans="2:5" ht="32.450000000000003" customHeight="1">
      <c r="B126" s="62" t="str">
        <f>IF(C$109="Yes","27n. Have you been immunised against Shingles?","27n. NA")</f>
        <v>27n. NA</v>
      </c>
      <c r="C126" s="122"/>
      <c r="D126" s="123"/>
      <c r="E126" s="124"/>
    </row>
    <row r="127" spans="2:5" ht="25.15" customHeight="1">
      <c r="B127" s="62" t="str">
        <f>IF(C$109="Yes","27p. Have you had a travel vaccine?","27p. NA")</f>
        <v>27p. NA</v>
      </c>
      <c r="C127" s="122"/>
      <c r="D127" s="123"/>
      <c r="E127" s="124"/>
    </row>
    <row r="128" spans="2:5" ht="30.6" customHeight="1" thickBot="1">
      <c r="B128" s="64" t="str">
        <f>IF(C$109="Yes","27o. Have you had any other vaccines?","27o. NA")</f>
        <v>27o. NA</v>
      </c>
      <c r="C128" s="134"/>
      <c r="D128" s="135"/>
      <c r="E128" s="136"/>
    </row>
    <row r="129" spans="2:8" ht="17.45" customHeight="1" thickBot="1">
      <c r="B129" s="93"/>
      <c r="C129" s="94"/>
      <c r="D129" s="94"/>
      <c r="E129" s="95"/>
    </row>
    <row r="130" spans="2:8" ht="25.15" customHeight="1">
      <c r="B130" s="29" t="s">
        <v>225</v>
      </c>
      <c r="C130" s="113"/>
      <c r="D130" s="114"/>
      <c r="E130" s="115"/>
    </row>
    <row r="131" spans="2:8" ht="48" customHeight="1">
      <c r="B131" s="60" t="s">
        <v>226</v>
      </c>
      <c r="C131" s="50"/>
      <c r="D131" s="100" t="s">
        <v>320</v>
      </c>
      <c r="E131" s="101"/>
    </row>
    <row r="132" spans="2:8" ht="35.450000000000003" customHeight="1">
      <c r="B132" s="73" t="str">
        <f>IF(C131="Yes","28aa. What is your relationship to that person?","28aa. NA")</f>
        <v>28aa. NA</v>
      </c>
      <c r="C132" s="158"/>
      <c r="D132" s="159"/>
      <c r="E132" s="160"/>
    </row>
    <row r="133" spans="2:8" ht="46.9" customHeight="1">
      <c r="B133" s="60" t="s">
        <v>227</v>
      </c>
      <c r="C133" s="158"/>
      <c r="D133" s="159"/>
      <c r="E133" s="160"/>
    </row>
    <row r="134" spans="2:8" ht="25.15" customHeight="1">
      <c r="B134" s="60" t="s">
        <v>228</v>
      </c>
      <c r="C134" s="158"/>
      <c r="D134" s="159"/>
      <c r="E134" s="160"/>
    </row>
    <row r="135" spans="2:8" ht="25.15" customHeight="1">
      <c r="B135" s="60" t="s">
        <v>229</v>
      </c>
      <c r="C135" s="158"/>
      <c r="D135" s="159"/>
      <c r="E135" s="160"/>
    </row>
    <row r="136" spans="2:8" ht="25.15" customHeight="1">
      <c r="B136" s="60" t="s">
        <v>230</v>
      </c>
      <c r="C136" s="158"/>
      <c r="D136" s="159"/>
      <c r="E136" s="160"/>
    </row>
    <row r="137" spans="2:8" ht="35.450000000000003" customHeight="1">
      <c r="B137" s="60" t="str">
        <f>IF(C136="Yes","28ea. Do you have any chronic illnesses or conditions?","28ea. NA")</f>
        <v>28ea. NA</v>
      </c>
      <c r="C137" s="51"/>
      <c r="D137" s="78" t="str">
        <f>IF(C$137="Yes","28eaa. What are they?","28eaa. NA")</f>
        <v>28eaa. NA</v>
      </c>
      <c r="E137" s="52"/>
    </row>
    <row r="138" spans="2:8" ht="25.15" customHeight="1">
      <c r="B138" s="60" t="s">
        <v>231</v>
      </c>
      <c r="C138" s="161"/>
      <c r="D138" s="159"/>
      <c r="E138" s="160"/>
    </row>
    <row r="139" spans="2:8" ht="25.15" customHeight="1" thickBot="1">
      <c r="B139" s="61" t="s">
        <v>232</v>
      </c>
      <c r="C139" s="162"/>
      <c r="D139" s="163"/>
      <c r="E139" s="164"/>
    </row>
    <row r="140" spans="2:8" ht="37.15" customHeight="1">
      <c r="B140" s="58" t="s">
        <v>233</v>
      </c>
      <c r="C140" s="170"/>
      <c r="D140" s="171"/>
      <c r="E140" s="172"/>
    </row>
    <row r="141" spans="2:8" ht="25.15" customHeight="1">
      <c r="B141" s="62" t="s">
        <v>234</v>
      </c>
      <c r="C141" s="122"/>
      <c r="D141" s="123"/>
      <c r="E141" s="124"/>
    </row>
    <row r="142" spans="2:8" ht="25.15" customHeight="1">
      <c r="B142" s="62" t="str">
        <f>IF(C$141="Yes","29aa. Full or part time?","29aa. NA")</f>
        <v>29aa. NA</v>
      </c>
      <c r="C142" s="152"/>
      <c r="D142" s="153"/>
      <c r="E142" s="154"/>
      <c r="H142" s="30"/>
    </row>
    <row r="143" spans="2:8" ht="25.15" customHeight="1">
      <c r="B143" s="62" t="str">
        <f>IF(C$141="No","29c. Are you self employed?","29c. NA")</f>
        <v>29c. NA</v>
      </c>
      <c r="C143" s="122"/>
      <c r="D143" s="123"/>
      <c r="E143" s="124"/>
    </row>
    <row r="144" spans="2:8" ht="25.15" customHeight="1">
      <c r="B144" s="62" t="str">
        <f>IF(C141="No","29c. Are you unemployed?","29c. NA")</f>
        <v>29c. NA</v>
      </c>
      <c r="C144" s="122"/>
      <c r="D144" s="123"/>
      <c r="E144" s="124"/>
    </row>
    <row r="145" spans="2:9" ht="25.15" customHeight="1">
      <c r="B145" s="62" t="str">
        <f>IF(C141="No","29d. Are you looking for work?","29d. NA")</f>
        <v>29d. NA</v>
      </c>
      <c r="C145" s="122"/>
      <c r="D145" s="123"/>
      <c r="E145" s="124"/>
    </row>
    <row r="146" spans="2:9" ht="37.15" customHeight="1">
      <c r="B146" s="62" t="s">
        <v>235</v>
      </c>
      <c r="C146" s="46"/>
      <c r="D146" s="70" t="str">
        <f>IF(C146="Yes","29ea. Where are you studying?","29ea. NA")</f>
        <v>29ea. NA</v>
      </c>
      <c r="E146" s="40"/>
    </row>
    <row r="147" spans="2:9" ht="33.6" customHeight="1">
      <c r="B147" s="62" t="s">
        <v>236</v>
      </c>
      <c r="C147" s="39"/>
      <c r="D147" s="66" t="str">
        <f>IF(C147="Yes","29fa. Are you still working?","29fa. NA")</f>
        <v>29fa. NA</v>
      </c>
      <c r="E147" s="36"/>
    </row>
    <row r="148" spans="2:9" ht="25.15" customHeight="1" thickBot="1">
      <c r="B148" s="64" t="str">
        <f>IF(OR(C141="Yes",C143="Yes"),"29g. What do you do for work?",IF(OR(E147="No",C144="Yes",C145="Yes"),"29g. What did you do for work?","29g. NA"))</f>
        <v>29g. NA</v>
      </c>
      <c r="C148" s="134"/>
      <c r="D148" s="135"/>
      <c r="E148" s="136"/>
      <c r="I148" s="30"/>
    </row>
    <row r="149" spans="2:9" ht="17.45" customHeight="1" thickBot="1">
      <c r="B149" s="93"/>
      <c r="C149" s="94"/>
      <c r="D149" s="94"/>
      <c r="E149" s="95"/>
      <c r="I149" s="30"/>
    </row>
    <row r="150" spans="2:9" ht="74.45" customHeight="1">
      <c r="B150" s="29" t="s">
        <v>238</v>
      </c>
      <c r="C150" s="113"/>
      <c r="D150" s="114"/>
      <c r="E150" s="115"/>
    </row>
    <row r="151" spans="2:9" ht="42.6" customHeight="1">
      <c r="B151" s="60" t="s">
        <v>89</v>
      </c>
      <c r="C151" s="50"/>
      <c r="D151" s="100" t="s">
        <v>322</v>
      </c>
      <c r="E151" s="101"/>
    </row>
    <row r="152" spans="2:9" ht="30.6" customHeight="1">
      <c r="B152" s="60" t="s">
        <v>90</v>
      </c>
      <c r="C152" s="50"/>
      <c r="D152" s="100" t="s">
        <v>323</v>
      </c>
      <c r="E152" s="101"/>
    </row>
    <row r="153" spans="2:9" ht="40.9" customHeight="1">
      <c r="B153" s="60" t="s">
        <v>91</v>
      </c>
      <c r="C153" s="50"/>
      <c r="D153" s="100" t="s">
        <v>324</v>
      </c>
      <c r="E153" s="101"/>
    </row>
    <row r="154" spans="2:9" ht="42.6" customHeight="1">
      <c r="B154" s="60" t="s">
        <v>92</v>
      </c>
      <c r="C154" s="50"/>
      <c r="D154" s="100" t="s">
        <v>325</v>
      </c>
      <c r="E154" s="101"/>
    </row>
    <row r="155" spans="2:9" ht="29.45" customHeight="1">
      <c r="B155" s="60" t="s">
        <v>93</v>
      </c>
      <c r="C155" s="50"/>
      <c r="D155" s="100" t="s">
        <v>326</v>
      </c>
      <c r="E155" s="101"/>
    </row>
    <row r="156" spans="2:9" ht="46.15" customHeight="1">
      <c r="B156" s="60" t="s">
        <v>94</v>
      </c>
      <c r="C156" s="50"/>
      <c r="D156" s="100" t="s">
        <v>327</v>
      </c>
      <c r="E156" s="101"/>
    </row>
    <row r="157" spans="2:9" ht="30.6" customHeight="1">
      <c r="B157" s="60" t="s">
        <v>95</v>
      </c>
      <c r="C157" s="50"/>
      <c r="D157" s="100" t="s">
        <v>328</v>
      </c>
      <c r="E157" s="101"/>
    </row>
    <row r="158" spans="2:9" ht="42" customHeight="1">
      <c r="B158" s="60" t="s">
        <v>96</v>
      </c>
      <c r="C158" s="50"/>
      <c r="D158" s="100" t="s">
        <v>329</v>
      </c>
      <c r="E158" s="101"/>
    </row>
    <row r="159" spans="2:9" ht="30" customHeight="1">
      <c r="B159" s="60" t="s">
        <v>97</v>
      </c>
      <c r="C159" s="50"/>
      <c r="D159" s="100" t="s">
        <v>330</v>
      </c>
      <c r="E159" s="101"/>
    </row>
    <row r="160" spans="2:9" ht="30" customHeight="1">
      <c r="B160" s="60" t="s">
        <v>98</v>
      </c>
      <c r="C160" s="50"/>
      <c r="D160" s="100" t="s">
        <v>331</v>
      </c>
      <c r="E160" s="101"/>
    </row>
    <row r="161" spans="2:5" ht="39.6" customHeight="1">
      <c r="B161" s="60" t="s">
        <v>99</v>
      </c>
      <c r="C161" s="50"/>
      <c r="D161" s="100" t="s">
        <v>332</v>
      </c>
      <c r="E161" s="101"/>
    </row>
    <row r="162" spans="2:5" ht="42.6" customHeight="1">
      <c r="B162" s="60" t="s">
        <v>100</v>
      </c>
      <c r="C162" s="50"/>
      <c r="D162" s="100" t="s">
        <v>333</v>
      </c>
      <c r="E162" s="101"/>
    </row>
    <row r="163" spans="2:5" ht="29.45" customHeight="1">
      <c r="B163" s="60" t="s">
        <v>101</v>
      </c>
      <c r="C163" s="50"/>
      <c r="D163" s="100" t="s">
        <v>334</v>
      </c>
      <c r="E163" s="101"/>
    </row>
    <row r="164" spans="2:5" ht="42" customHeight="1">
      <c r="B164" s="60" t="s">
        <v>102</v>
      </c>
      <c r="C164" s="50"/>
      <c r="D164" s="100" t="s">
        <v>335</v>
      </c>
      <c r="E164" s="101"/>
    </row>
    <row r="165" spans="2:5" ht="30.6" customHeight="1">
      <c r="B165" s="60" t="s">
        <v>104</v>
      </c>
      <c r="C165" s="50"/>
      <c r="D165" s="100" t="s">
        <v>336</v>
      </c>
      <c r="E165" s="101"/>
    </row>
    <row r="166" spans="2:5" ht="30" customHeight="1">
      <c r="B166" s="60" t="s">
        <v>103</v>
      </c>
      <c r="C166" s="50"/>
      <c r="D166" s="100" t="s">
        <v>337</v>
      </c>
      <c r="E166" s="101"/>
    </row>
    <row r="167" spans="2:5" ht="30" customHeight="1">
      <c r="B167" s="60" t="s">
        <v>105</v>
      </c>
      <c r="C167" s="50"/>
      <c r="D167" s="100" t="s">
        <v>338</v>
      </c>
      <c r="E167" s="101"/>
    </row>
    <row r="168" spans="2:5" ht="29.45" customHeight="1">
      <c r="B168" s="60" t="s">
        <v>106</v>
      </c>
      <c r="C168" s="50"/>
      <c r="D168" s="100" t="s">
        <v>339</v>
      </c>
      <c r="E168" s="101"/>
    </row>
    <row r="169" spans="2:5" ht="41.45" customHeight="1">
      <c r="B169" s="60" t="s">
        <v>107</v>
      </c>
      <c r="C169" s="50"/>
      <c r="D169" s="100" t="s">
        <v>340</v>
      </c>
      <c r="E169" s="101"/>
    </row>
    <row r="170" spans="2:5" ht="28.15" customHeight="1">
      <c r="B170" s="60" t="s">
        <v>108</v>
      </c>
      <c r="C170" s="50"/>
      <c r="D170" s="100" t="s">
        <v>341</v>
      </c>
      <c r="E170" s="101"/>
    </row>
    <row r="171" spans="2:5" ht="39.6" customHeight="1">
      <c r="B171" s="60" t="s">
        <v>109</v>
      </c>
      <c r="C171" s="50"/>
      <c r="D171" s="100" t="s">
        <v>342</v>
      </c>
      <c r="E171" s="101"/>
    </row>
    <row r="172" spans="2:5" ht="28.15" customHeight="1">
      <c r="B172" s="60" t="s">
        <v>110</v>
      </c>
      <c r="C172" s="50"/>
      <c r="D172" s="100" t="s">
        <v>343</v>
      </c>
      <c r="E172" s="101"/>
    </row>
    <row r="173" spans="2:5" ht="42" customHeight="1">
      <c r="B173" s="60" t="s">
        <v>111</v>
      </c>
      <c r="C173" s="50"/>
      <c r="D173" s="100" t="s">
        <v>344</v>
      </c>
      <c r="E173" s="101"/>
    </row>
    <row r="174" spans="2:5" ht="31.15" customHeight="1">
      <c r="B174" s="60" t="s">
        <v>112</v>
      </c>
      <c r="C174" s="50"/>
      <c r="D174" s="100" t="s">
        <v>345</v>
      </c>
      <c r="E174" s="101"/>
    </row>
    <row r="175" spans="2:5" ht="29.45" customHeight="1">
      <c r="B175" s="60" t="s">
        <v>113</v>
      </c>
      <c r="C175" s="50"/>
      <c r="D175" s="100" t="s">
        <v>346</v>
      </c>
      <c r="E175" s="101"/>
    </row>
    <row r="176" spans="2:5" ht="30" customHeight="1">
      <c r="B176" s="60" t="s">
        <v>114</v>
      </c>
      <c r="C176" s="50"/>
      <c r="D176" s="100" t="s">
        <v>347</v>
      </c>
      <c r="E176" s="101"/>
    </row>
    <row r="177" spans="2:5" ht="44.45" customHeight="1">
      <c r="B177" s="60" t="s">
        <v>115</v>
      </c>
      <c r="C177" s="50"/>
      <c r="D177" s="100" t="s">
        <v>348</v>
      </c>
      <c r="E177" s="101"/>
    </row>
    <row r="178" spans="2:5" ht="55.15" customHeight="1">
      <c r="B178" s="60" t="s">
        <v>116</v>
      </c>
      <c r="C178" s="50"/>
      <c r="D178" s="100" t="s">
        <v>349</v>
      </c>
      <c r="E178" s="101"/>
    </row>
    <row r="179" spans="2:5" ht="44.45" customHeight="1">
      <c r="B179" s="60" t="s">
        <v>117</v>
      </c>
      <c r="C179" s="50"/>
      <c r="D179" s="100" t="s">
        <v>350</v>
      </c>
      <c r="E179" s="101"/>
    </row>
    <row r="180" spans="2:5" ht="29.45" customHeight="1">
      <c r="B180" s="60" t="s">
        <v>118</v>
      </c>
      <c r="C180" s="50"/>
      <c r="D180" s="100" t="s">
        <v>351</v>
      </c>
      <c r="E180" s="101"/>
    </row>
    <row r="181" spans="2:5" ht="31.15" customHeight="1">
      <c r="B181" s="60" t="s">
        <v>119</v>
      </c>
      <c r="C181" s="50"/>
      <c r="D181" s="100" t="s">
        <v>352</v>
      </c>
      <c r="E181" s="101"/>
    </row>
    <row r="182" spans="2:5" ht="28.9" customHeight="1">
      <c r="B182" s="60" t="s">
        <v>120</v>
      </c>
      <c r="C182" s="50"/>
      <c r="D182" s="100" t="s">
        <v>353</v>
      </c>
      <c r="E182" s="101"/>
    </row>
    <row r="183" spans="2:5" ht="42" customHeight="1">
      <c r="B183" s="60" t="s">
        <v>121</v>
      </c>
      <c r="C183" s="50"/>
      <c r="D183" s="100" t="s">
        <v>354</v>
      </c>
      <c r="E183" s="101"/>
    </row>
    <row r="184" spans="2:5" ht="28.15" customHeight="1">
      <c r="B184" s="60" t="s">
        <v>122</v>
      </c>
      <c r="C184" s="50"/>
      <c r="D184" s="100" t="s">
        <v>355</v>
      </c>
      <c r="E184" s="101"/>
    </row>
    <row r="185" spans="2:5" ht="42.6" customHeight="1">
      <c r="B185" s="60" t="s">
        <v>123</v>
      </c>
      <c r="C185" s="50"/>
      <c r="D185" s="100" t="s">
        <v>356</v>
      </c>
      <c r="E185" s="101"/>
    </row>
    <row r="186" spans="2:5" ht="28.15" customHeight="1">
      <c r="B186" s="60" t="s">
        <v>124</v>
      </c>
      <c r="C186" s="50"/>
      <c r="D186" s="100" t="s">
        <v>357</v>
      </c>
      <c r="E186" s="101"/>
    </row>
    <row r="187" spans="2:5" ht="57" customHeight="1">
      <c r="B187" s="60" t="s">
        <v>125</v>
      </c>
      <c r="C187" s="50"/>
      <c r="D187" s="100" t="s">
        <v>358</v>
      </c>
      <c r="E187" s="101"/>
    </row>
    <row r="188" spans="2:5" ht="43.15" customHeight="1">
      <c r="B188" s="60" t="s">
        <v>126</v>
      </c>
      <c r="C188" s="50"/>
      <c r="D188" s="100" t="s">
        <v>359</v>
      </c>
      <c r="E188" s="101"/>
    </row>
    <row r="189" spans="2:5" ht="43.9" customHeight="1">
      <c r="B189" s="60" t="s">
        <v>127</v>
      </c>
      <c r="C189" s="50"/>
      <c r="D189" s="100" t="s">
        <v>360</v>
      </c>
      <c r="E189" s="101"/>
    </row>
    <row r="190" spans="2:5" ht="42.6" customHeight="1">
      <c r="B190" s="60" t="s">
        <v>128</v>
      </c>
      <c r="C190" s="50"/>
      <c r="D190" s="100" t="s">
        <v>361</v>
      </c>
      <c r="E190" s="101"/>
    </row>
    <row r="191" spans="2:5" ht="30.6" customHeight="1">
      <c r="B191" s="60" t="s">
        <v>129</v>
      </c>
      <c r="C191" s="50"/>
      <c r="D191" s="100" t="s">
        <v>362</v>
      </c>
      <c r="E191" s="101"/>
    </row>
    <row r="192" spans="2:5" ht="28.9" customHeight="1">
      <c r="B192" s="60" t="s">
        <v>130</v>
      </c>
      <c r="C192" s="50"/>
      <c r="D192" s="100" t="s">
        <v>363</v>
      </c>
      <c r="E192" s="101"/>
    </row>
    <row r="193" spans="2:5" ht="28.9" customHeight="1">
      <c r="B193" s="60" t="s">
        <v>131</v>
      </c>
      <c r="C193" s="50"/>
      <c r="D193" s="100" t="s">
        <v>364</v>
      </c>
      <c r="E193" s="101"/>
    </row>
    <row r="194" spans="2:5" ht="43.15" customHeight="1">
      <c r="B194" s="60" t="s">
        <v>132</v>
      </c>
      <c r="C194" s="50"/>
      <c r="D194" s="100" t="s">
        <v>365</v>
      </c>
      <c r="E194" s="101"/>
    </row>
    <row r="195" spans="2:5" ht="39" customHeight="1">
      <c r="B195" s="60" t="s">
        <v>133</v>
      </c>
      <c r="C195" s="50"/>
      <c r="D195" s="100" t="s">
        <v>366</v>
      </c>
      <c r="E195" s="101"/>
    </row>
    <row r="196" spans="2:5" ht="55.9" customHeight="1">
      <c r="B196" s="60" t="s">
        <v>134</v>
      </c>
      <c r="C196" s="50"/>
      <c r="D196" s="100" t="s">
        <v>367</v>
      </c>
      <c r="E196" s="101"/>
    </row>
    <row r="197" spans="2:5" ht="43.15" customHeight="1">
      <c r="B197" s="60" t="s">
        <v>135</v>
      </c>
      <c r="C197" s="50"/>
      <c r="D197" s="100" t="s">
        <v>368</v>
      </c>
      <c r="E197" s="101"/>
    </row>
    <row r="198" spans="2:5" ht="55.9" customHeight="1">
      <c r="B198" s="60" t="s">
        <v>136</v>
      </c>
      <c r="C198" s="50"/>
      <c r="D198" s="100" t="s">
        <v>369</v>
      </c>
      <c r="E198" s="101"/>
    </row>
    <row r="199" spans="2:5" ht="39" customHeight="1">
      <c r="B199" s="60" t="s">
        <v>137</v>
      </c>
      <c r="C199" s="50"/>
      <c r="D199" s="100" t="s">
        <v>370</v>
      </c>
      <c r="E199" s="101"/>
    </row>
    <row r="200" spans="2:5" ht="29.45" customHeight="1">
      <c r="B200" s="60" t="s">
        <v>138</v>
      </c>
      <c r="C200" s="50"/>
      <c r="D200" s="100" t="s">
        <v>371</v>
      </c>
      <c r="E200" s="101"/>
    </row>
    <row r="201" spans="2:5" ht="40.9" customHeight="1">
      <c r="B201" s="60" t="s">
        <v>139</v>
      </c>
      <c r="C201" s="50"/>
      <c r="D201" s="100" t="s">
        <v>372</v>
      </c>
      <c r="E201" s="101"/>
    </row>
    <row r="202" spans="2:5" ht="42" customHeight="1">
      <c r="B202" s="60" t="s">
        <v>140</v>
      </c>
      <c r="C202" s="50"/>
      <c r="D202" s="100" t="s">
        <v>373</v>
      </c>
      <c r="E202" s="101"/>
    </row>
    <row r="203" spans="2:5" ht="30" customHeight="1">
      <c r="B203" s="60" t="s">
        <v>141</v>
      </c>
      <c r="C203" s="50"/>
      <c r="D203" s="100" t="s">
        <v>374</v>
      </c>
      <c r="E203" s="101"/>
    </row>
    <row r="204" spans="2:5" ht="30.6" customHeight="1">
      <c r="B204" s="60" t="s">
        <v>142</v>
      </c>
      <c r="C204" s="50"/>
      <c r="D204" s="100" t="s">
        <v>375</v>
      </c>
      <c r="E204" s="101"/>
    </row>
    <row r="205" spans="2:5" ht="27.6" customHeight="1">
      <c r="B205" s="60" t="s">
        <v>143</v>
      </c>
      <c r="C205" s="50"/>
      <c r="D205" s="100" t="s">
        <v>376</v>
      </c>
      <c r="E205" s="101"/>
    </row>
    <row r="206" spans="2:5" ht="41.45" customHeight="1">
      <c r="B206" s="60" t="s">
        <v>144</v>
      </c>
      <c r="C206" s="50"/>
      <c r="D206" s="100" t="s">
        <v>377</v>
      </c>
      <c r="E206" s="101"/>
    </row>
    <row r="207" spans="2:5" ht="40.9" customHeight="1">
      <c r="B207" s="60" t="s">
        <v>145</v>
      </c>
      <c r="C207" s="50"/>
      <c r="D207" s="100" t="s">
        <v>378</v>
      </c>
      <c r="E207" s="101"/>
    </row>
    <row r="208" spans="2:5" ht="39.6" customHeight="1">
      <c r="B208" s="60" t="s">
        <v>146</v>
      </c>
      <c r="C208" s="50"/>
      <c r="D208" s="100" t="s">
        <v>379</v>
      </c>
      <c r="E208" s="101"/>
    </row>
    <row r="209" spans="2:5" ht="43.9" customHeight="1">
      <c r="B209" s="60" t="s">
        <v>147</v>
      </c>
      <c r="C209" s="50"/>
      <c r="D209" s="100" t="s">
        <v>380</v>
      </c>
      <c r="E209" s="101"/>
    </row>
    <row r="210" spans="2:5" ht="32.450000000000003" customHeight="1">
      <c r="B210" s="60" t="s">
        <v>148</v>
      </c>
      <c r="C210" s="50"/>
      <c r="D210" s="100" t="s">
        <v>381</v>
      </c>
      <c r="E210" s="101"/>
    </row>
    <row r="211" spans="2:5" ht="40.15" customHeight="1">
      <c r="B211" s="60" t="s">
        <v>149</v>
      </c>
      <c r="C211" s="50"/>
      <c r="D211" s="100" t="s">
        <v>382</v>
      </c>
      <c r="E211" s="101"/>
    </row>
    <row r="212" spans="2:5" ht="30" customHeight="1">
      <c r="B212" s="60" t="s">
        <v>150</v>
      </c>
      <c r="C212" s="50"/>
      <c r="D212" s="100" t="s">
        <v>383</v>
      </c>
      <c r="E212" s="101"/>
    </row>
    <row r="213" spans="2:5" ht="30.6" customHeight="1" thickBot="1">
      <c r="B213" s="61" t="s">
        <v>151</v>
      </c>
      <c r="C213" s="53"/>
      <c r="D213" s="104" t="s">
        <v>384</v>
      </c>
      <c r="E213" s="105"/>
    </row>
    <row r="214" spans="2:5" ht="25.15" customHeight="1">
      <c r="B214" s="58" t="s">
        <v>237</v>
      </c>
      <c r="C214" s="131"/>
      <c r="D214" s="132"/>
      <c r="E214" s="139"/>
    </row>
    <row r="215" spans="2:5" ht="34.9" customHeight="1">
      <c r="B215" s="62" t="str">
        <f>IF(C$214="Yes","31a. How long have you been in the UK?","31a. NA")</f>
        <v>31a. NA</v>
      </c>
      <c r="C215" s="122"/>
      <c r="D215" s="123"/>
      <c r="E215" s="124"/>
    </row>
    <row r="216" spans="2:5" ht="36" customHeight="1">
      <c r="B216" s="62" t="str">
        <f>IF(C$214="Yes","31b. What were the circumstances of your migration","31b. NA")</f>
        <v>31b. NA</v>
      </c>
      <c r="C216" s="122"/>
      <c r="D216" s="123"/>
      <c r="E216" s="124"/>
    </row>
    <row r="217" spans="2:5" ht="35.450000000000003" customHeight="1">
      <c r="B217" s="62" t="str">
        <f>IF(C$214="Yes","31c. Do you have any housing or social issues?","31c. NA")</f>
        <v>31c. NA</v>
      </c>
      <c r="C217" s="122"/>
      <c r="D217" s="123"/>
      <c r="E217" s="124"/>
    </row>
    <row r="218" spans="2:5" ht="32.450000000000003" customHeight="1" thickBot="1">
      <c r="B218" s="64" t="str">
        <f>IF(C$214="Yes","31d. Do you have plans to return to the country of your origin?","31d. NA")</f>
        <v>31d. NA</v>
      </c>
      <c r="C218" s="134"/>
      <c r="D218" s="135"/>
      <c r="E218" s="136"/>
    </row>
    <row r="219" spans="2:5" ht="20.45" customHeight="1" thickBot="1">
      <c r="B219" s="93"/>
      <c r="C219" s="94"/>
      <c r="D219" s="94"/>
      <c r="E219" s="95"/>
    </row>
    <row r="220" spans="2:5" ht="25.15" customHeight="1">
      <c r="B220" s="29" t="s">
        <v>239</v>
      </c>
      <c r="C220" s="131"/>
      <c r="D220" s="132"/>
      <c r="E220" s="133"/>
    </row>
    <row r="221" spans="2:5" ht="25.15" customHeight="1">
      <c r="B221" s="60" t="str">
        <f>IF(C$220="Woman","32a. When was your last smear test?","32a. NA")</f>
        <v>32a. NA</v>
      </c>
      <c r="C221" s="152"/>
      <c r="D221" s="153"/>
      <c r="E221" s="154"/>
    </row>
    <row r="222" spans="2:5" ht="25.15" customHeight="1">
      <c r="B222" s="60" t="str">
        <f>IF(C$220="Woman","32b. What was the result?","32b. NA")</f>
        <v>32b. NA</v>
      </c>
      <c r="C222" s="122"/>
      <c r="D222" s="123"/>
      <c r="E222" s="124"/>
    </row>
    <row r="223" spans="2:5" ht="25.15" customHeight="1">
      <c r="B223" s="60" t="str">
        <f>IF(C$220="Woman","32c. Where was it taken?","32c. NA")</f>
        <v>32c. NA</v>
      </c>
      <c r="C223" s="122"/>
      <c r="D223" s="123"/>
      <c r="E223" s="124"/>
    </row>
    <row r="224" spans="2:5" ht="34.15" customHeight="1">
      <c r="B224" s="60" t="str">
        <f>IF(C$220="Woman","32d. How many times have you been pregnant?","32d. NA")</f>
        <v>32d. NA</v>
      </c>
      <c r="C224" s="122"/>
      <c r="D224" s="123"/>
      <c r="E224" s="124"/>
    </row>
    <row r="225" spans="2:5" ht="25.15" customHeight="1">
      <c r="B225" s="60" t="str">
        <f>IF(C$220="Woman","32e. How many children do you have?","32e. NA")</f>
        <v>32e. NA</v>
      </c>
      <c r="C225" s="122"/>
      <c r="D225" s="123"/>
      <c r="E225" s="124"/>
    </row>
    <row r="226" spans="2:5" ht="25.15" customHeight="1">
      <c r="B226" s="60" t="str">
        <f>IF(C$220="Woman","32f. Are you pregnant now?","32f. NA")</f>
        <v>32f. NA</v>
      </c>
      <c r="C226" s="122"/>
      <c r="D226" s="123"/>
      <c r="E226" s="124"/>
    </row>
    <row r="227" spans="2:5" ht="33.6" customHeight="1">
      <c r="B227" s="60" t="str">
        <f>IF(C$220="Woman","32g. Are you currently using a method of contraception?","32g. NA")</f>
        <v>32g. NA</v>
      </c>
      <c r="C227" s="122"/>
      <c r="D227" s="123"/>
      <c r="E227" s="124"/>
    </row>
    <row r="228" spans="2:5" ht="32.450000000000003" customHeight="1">
      <c r="B228" s="60" t="str">
        <f>IF(C$220="Woman","32h. Have you had a recent breast screening?","32h. NA")</f>
        <v>32h. NA</v>
      </c>
      <c r="C228" s="122"/>
      <c r="D228" s="123"/>
      <c r="E228" s="124"/>
    </row>
    <row r="229" spans="2:5" ht="30.6" customHeight="1">
      <c r="B229" s="60" t="str">
        <f>IF(C$220="Woman","32i. Have you had Hormone Replacement Therapy?","32i. NA")</f>
        <v>32i. NA</v>
      </c>
      <c r="C229" s="122"/>
      <c r="D229" s="123"/>
      <c r="E229" s="124"/>
    </row>
    <row r="230" spans="2:5" ht="33" customHeight="1">
      <c r="B230" s="60" t="str">
        <f>IF(C$220="Woman","32j. Do you have problems with incontinence?","32j. NA")</f>
        <v>32j. NA</v>
      </c>
      <c r="C230" s="122"/>
      <c r="D230" s="123"/>
      <c r="E230" s="124"/>
    </row>
    <row r="231" spans="2:5" ht="25.15" customHeight="1">
      <c r="B231" s="60" t="str">
        <f>IF(C$220="Woman","32k. Have you ever miscarried?","32k. NA")</f>
        <v>32k. NA</v>
      </c>
      <c r="C231" s="122"/>
      <c r="D231" s="123"/>
      <c r="E231" s="124"/>
    </row>
    <row r="232" spans="2:5" ht="25.15" customHeight="1">
      <c r="B232" s="60" t="str">
        <f>IF(C$220="Man","32l. Do you have poor urinary flow?","32l. NA")</f>
        <v>32l. NA</v>
      </c>
      <c r="C232" s="122"/>
      <c r="D232" s="123"/>
      <c r="E232" s="124"/>
    </row>
    <row r="233" spans="2:5" ht="36" customHeight="1">
      <c r="B233" s="60" t="str">
        <f>IF(C$220="Man","32m. Do you have erectile dysfunction?","32m. NA")</f>
        <v>32m. NA</v>
      </c>
      <c r="C233" s="122"/>
      <c r="D233" s="123"/>
      <c r="E233" s="124"/>
    </row>
    <row r="234" spans="2:5" ht="33.6" customHeight="1">
      <c r="B234" s="60" t="str">
        <f>IF(C$220="Man","32n. Have you had an abdominal aortic aneurysm?","32n. NA")</f>
        <v>32n. NA</v>
      </c>
      <c r="C234" s="122"/>
      <c r="D234" s="123"/>
      <c r="E234" s="124"/>
    </row>
    <row r="235" spans="2:5" ht="37.15" customHeight="1">
      <c r="B235" s="60" t="str">
        <f>IF(C220="Man","32o. Have you had problems with your blood pressure?","32o. NA")</f>
        <v>32o. NA</v>
      </c>
      <c r="C235" s="119"/>
      <c r="D235" s="120"/>
      <c r="E235" s="121"/>
    </row>
    <row r="236" spans="2:5" ht="36" customHeight="1">
      <c r="B236" s="60" t="str">
        <f>IF(C235="Yes","32oa. Have you had systolic blood pressure?","32oa. NA")</f>
        <v>32oa. NA</v>
      </c>
      <c r="C236" s="122"/>
      <c r="D236" s="123"/>
      <c r="E236" s="124"/>
    </row>
    <row r="237" spans="2:5" ht="31.15" customHeight="1" thickBot="1">
      <c r="B237" s="61" t="str">
        <f>IF(C235="Yes","32ob. Have you had diastolic blood pressure?","32ob. NA")</f>
        <v>32ob. NA</v>
      </c>
      <c r="C237" s="134"/>
      <c r="D237" s="135"/>
      <c r="E237" s="136"/>
    </row>
    <row r="238" spans="2:5" ht="25.15" customHeight="1" thickBot="1">
      <c r="B238" s="57" t="s">
        <v>240</v>
      </c>
      <c r="C238" s="106"/>
      <c r="D238" s="107"/>
      <c r="E238" s="108"/>
    </row>
    <row r="239" spans="2:5" ht="25.15" customHeight="1" thickBot="1">
      <c r="B239" s="27" t="s">
        <v>241</v>
      </c>
      <c r="C239" s="106"/>
      <c r="D239" s="107"/>
      <c r="E239" s="108"/>
    </row>
    <row r="240" spans="2:5" ht="25.15" customHeight="1" thickBot="1">
      <c r="B240" s="57" t="s">
        <v>242</v>
      </c>
      <c r="C240" s="106"/>
      <c r="D240" s="107"/>
      <c r="E240" s="108"/>
    </row>
    <row r="241" spans="2:7" ht="25.15" customHeight="1" thickBot="1">
      <c r="B241" s="27" t="s">
        <v>243</v>
      </c>
      <c r="C241" s="106"/>
      <c r="D241" s="107"/>
      <c r="E241" s="108"/>
      <c r="G241" s="30"/>
    </row>
    <row r="242" spans="2:7" ht="25.15" customHeight="1" thickBot="1">
      <c r="B242" s="57" t="s">
        <v>244</v>
      </c>
      <c r="C242" s="106"/>
      <c r="D242" s="107"/>
      <c r="E242" s="108"/>
    </row>
    <row r="243" spans="2:7" ht="25.15" customHeight="1">
      <c r="B243" s="29" t="s">
        <v>245</v>
      </c>
      <c r="C243" s="110"/>
      <c r="D243" s="111"/>
      <c r="E243" s="112"/>
    </row>
    <row r="244" spans="2:7" ht="25.15" customHeight="1">
      <c r="B244" s="60" t="s">
        <v>246</v>
      </c>
      <c r="C244" s="155"/>
      <c r="D244" s="156"/>
      <c r="E244" s="157"/>
    </row>
    <row r="245" spans="2:7" ht="25.15" customHeight="1">
      <c r="B245" s="60" t="s">
        <v>247</v>
      </c>
      <c r="C245" s="155"/>
      <c r="D245" s="156"/>
      <c r="E245" s="157"/>
    </row>
    <row r="246" spans="2:7" ht="25.15" customHeight="1">
      <c r="B246" s="60" t="s">
        <v>248</v>
      </c>
      <c r="C246" s="155"/>
      <c r="D246" s="156"/>
      <c r="E246" s="157"/>
    </row>
    <row r="247" spans="2:7" ht="25.15" customHeight="1">
      <c r="B247" s="60" t="s">
        <v>249</v>
      </c>
      <c r="C247" s="155"/>
      <c r="D247" s="156"/>
      <c r="E247" s="157"/>
    </row>
    <row r="248" spans="2:7" ht="25.15" customHeight="1" thickBot="1">
      <c r="B248" s="61" t="s">
        <v>250</v>
      </c>
      <c r="C248" s="143"/>
      <c r="D248" s="144"/>
      <c r="E248" s="145"/>
    </row>
    <row r="249" spans="2:7" ht="25.15" customHeight="1" thickBot="1">
      <c r="B249" s="83" t="s">
        <v>251</v>
      </c>
      <c r="C249" s="165"/>
      <c r="D249" s="166"/>
      <c r="E249" s="167"/>
    </row>
    <row r="250" spans="2:7" ht="27" customHeight="1">
      <c r="B250" s="90" t="s">
        <v>387</v>
      </c>
      <c r="C250" s="91"/>
      <c r="D250" s="91"/>
      <c r="E250" s="92"/>
    </row>
    <row r="251" spans="2:7" ht="55.9" customHeight="1">
      <c r="B251" s="88" t="s">
        <v>388</v>
      </c>
      <c r="C251" s="79"/>
      <c r="D251" s="86" t="str">
        <f>IF(C251&gt;1,"Please give any details you know about this/these devices","")</f>
        <v/>
      </c>
      <c r="E251" s="80"/>
    </row>
    <row r="252" spans="2:7" ht="12.75">
      <c r="B252" s="88" t="s">
        <v>389</v>
      </c>
      <c r="C252" s="79"/>
      <c r="D252" s="86" t="str">
        <f>IF(C252&gt;1,"Please give any details you know about this/these devices","")</f>
        <v/>
      </c>
      <c r="E252" s="80"/>
    </row>
    <row r="253" spans="2:7" ht="12.75">
      <c r="B253" s="88" t="s">
        <v>390</v>
      </c>
      <c r="C253" s="79"/>
      <c r="D253" s="86" t="str">
        <f>IF(C253&gt;1,"Please give any details you know about this/these devices","")</f>
        <v/>
      </c>
      <c r="E253" s="80"/>
    </row>
    <row r="254" spans="2:7" ht="12.75">
      <c r="B254" s="88" t="s">
        <v>391</v>
      </c>
      <c r="C254" s="79"/>
      <c r="D254" s="86" t="str">
        <f>IF(C254&gt;1,"Please give any details you know about this/these devices","")</f>
        <v/>
      </c>
      <c r="E254" s="80"/>
    </row>
    <row r="255" spans="2:7" ht="12.75">
      <c r="B255" s="88" t="s">
        <v>392</v>
      </c>
      <c r="C255" s="79"/>
      <c r="D255" s="86" t="str">
        <f>IF(C255="Yes","Please give any details you know about this/these devices","")</f>
        <v/>
      </c>
      <c r="E255" s="80"/>
    </row>
    <row r="256" spans="2:7" ht="13.5" thickBot="1">
      <c r="B256" s="89" t="s">
        <v>393</v>
      </c>
      <c r="C256" s="81"/>
      <c r="D256" s="87" t="str">
        <f>IF(C256="Yes","Please give any details you know about this/these devices","")</f>
        <v/>
      </c>
      <c r="E256" s="82"/>
    </row>
    <row r="259" spans="2:5" ht="25.15" customHeight="1">
      <c r="B259" s="18"/>
      <c r="C259" s="20"/>
      <c r="D259" s="20"/>
      <c r="E259" s="20"/>
    </row>
    <row r="260" spans="2:5" ht="25.9" customHeight="1">
      <c r="B260" s="19"/>
      <c r="C260" s="20"/>
      <c r="D260" s="20"/>
      <c r="E260" s="20"/>
    </row>
    <row r="261" spans="2:5" ht="24" customHeight="1">
      <c r="B261" s="19"/>
      <c r="C261" s="20"/>
      <c r="D261" s="20"/>
      <c r="E261" s="20"/>
    </row>
    <row r="262" spans="2:5" ht="19.149999999999999" customHeight="1">
      <c r="B262" s="19"/>
      <c r="C262" s="20"/>
      <c r="D262" s="20"/>
      <c r="E262" s="20"/>
    </row>
    <row r="263" spans="2:5" ht="44.45" customHeight="1">
      <c r="B263" s="19"/>
      <c r="C263" s="20"/>
      <c r="D263" s="20"/>
      <c r="E263" s="20"/>
    </row>
    <row r="264" spans="2:5" ht="36" customHeight="1">
      <c r="B264" s="19"/>
      <c r="C264" s="20"/>
      <c r="D264" s="20"/>
      <c r="E264" s="20"/>
    </row>
  </sheetData>
  <sheetProtection password="E57C" sheet="1" objects="1" scenarios="1" formatRows="0" insertHyperlinks="0" selectLockedCells="1"/>
  <dataConsolidate/>
  <mergeCells count="210">
    <mergeCell ref="C235:E235"/>
    <mergeCell ref="C236:E236"/>
    <mergeCell ref="D58:E58"/>
    <mergeCell ref="C140:E140"/>
    <mergeCell ref="C148:E148"/>
    <mergeCell ref="C150:E150"/>
    <mergeCell ref="C5:E5"/>
    <mergeCell ref="C12:E12"/>
    <mergeCell ref="D56:E56"/>
    <mergeCell ref="D57:E57"/>
    <mergeCell ref="C89:E89"/>
    <mergeCell ref="C225:E225"/>
    <mergeCell ref="C227:E227"/>
    <mergeCell ref="C228:E228"/>
    <mergeCell ref="C230:E230"/>
    <mergeCell ref="C231:E231"/>
    <mergeCell ref="C232:E232"/>
    <mergeCell ref="C233:E233"/>
    <mergeCell ref="C234:E234"/>
    <mergeCell ref="C214:E214"/>
    <mergeCell ref="C216:E216"/>
    <mergeCell ref="C217:E217"/>
    <mergeCell ref="C218:E218"/>
    <mergeCell ref="C215:E215"/>
    <mergeCell ref="C237:E237"/>
    <mergeCell ref="C249:E249"/>
    <mergeCell ref="C247:E247"/>
    <mergeCell ref="C246:E246"/>
    <mergeCell ref="C245:E245"/>
    <mergeCell ref="C244:E244"/>
    <mergeCell ref="C243:E243"/>
    <mergeCell ref="C242:E242"/>
    <mergeCell ref="C241:E241"/>
    <mergeCell ref="C240:E240"/>
    <mergeCell ref="C239:E239"/>
    <mergeCell ref="C238:E238"/>
    <mergeCell ref="C248:E248"/>
    <mergeCell ref="C220:E220"/>
    <mergeCell ref="C221:E221"/>
    <mergeCell ref="C222:E222"/>
    <mergeCell ref="C223:E223"/>
    <mergeCell ref="C224:E224"/>
    <mergeCell ref="C226:E226"/>
    <mergeCell ref="C229:E229"/>
    <mergeCell ref="C143:E143"/>
    <mergeCell ref="C144:E144"/>
    <mergeCell ref="C145:E145"/>
    <mergeCell ref="D151:E151"/>
    <mergeCell ref="D204:E204"/>
    <mergeCell ref="D203:E203"/>
    <mergeCell ref="D202:E202"/>
    <mergeCell ref="D201:E201"/>
    <mergeCell ref="D200:E200"/>
    <mergeCell ref="D199:E199"/>
    <mergeCell ref="D152:E152"/>
    <mergeCell ref="D153:E153"/>
    <mergeCell ref="D154:E154"/>
    <mergeCell ref="D155:E155"/>
    <mergeCell ref="D156:E156"/>
    <mergeCell ref="D157:E157"/>
    <mergeCell ref="D158:E158"/>
    <mergeCell ref="C136:E136"/>
    <mergeCell ref="C138:E138"/>
    <mergeCell ref="C139:E139"/>
    <mergeCell ref="C142:E142"/>
    <mergeCell ref="C141:E141"/>
    <mergeCell ref="C132:E132"/>
    <mergeCell ref="C133:E133"/>
    <mergeCell ref="C134:E134"/>
    <mergeCell ref="C135:E135"/>
    <mergeCell ref="C124:E124"/>
    <mergeCell ref="C125:E125"/>
    <mergeCell ref="C126:E126"/>
    <mergeCell ref="C127:E127"/>
    <mergeCell ref="C128:E128"/>
    <mergeCell ref="C119:E119"/>
    <mergeCell ref="C120:E120"/>
    <mergeCell ref="C121:E121"/>
    <mergeCell ref="C122:E122"/>
    <mergeCell ref="C123:E123"/>
    <mergeCell ref="C114:E114"/>
    <mergeCell ref="C115:E115"/>
    <mergeCell ref="C116:E116"/>
    <mergeCell ref="C117:E117"/>
    <mergeCell ref="C118:E118"/>
    <mergeCell ref="C109:E109"/>
    <mergeCell ref="C110:E110"/>
    <mergeCell ref="C111:E111"/>
    <mergeCell ref="C112:E112"/>
    <mergeCell ref="C113:E113"/>
    <mergeCell ref="C91:E91"/>
    <mergeCell ref="C93:E93"/>
    <mergeCell ref="C92:E92"/>
    <mergeCell ref="C107:E107"/>
    <mergeCell ref="C105:E105"/>
    <mergeCell ref="C103:E103"/>
    <mergeCell ref="C101:E101"/>
    <mergeCell ref="C99:E99"/>
    <mergeCell ref="C97:E97"/>
    <mergeCell ref="C95:E95"/>
    <mergeCell ref="C85:E85"/>
    <mergeCell ref="C86:E86"/>
    <mergeCell ref="C87:E87"/>
    <mergeCell ref="C63:E63"/>
    <mergeCell ref="C78:E78"/>
    <mergeCell ref="C79:E79"/>
    <mergeCell ref="C80:E80"/>
    <mergeCell ref="C65:E65"/>
    <mergeCell ref="C66:E66"/>
    <mergeCell ref="C60:E60"/>
    <mergeCell ref="C62:E62"/>
    <mergeCell ref="C61:E61"/>
    <mergeCell ref="C43:E43"/>
    <mergeCell ref="C47:E47"/>
    <mergeCell ref="C46:E46"/>
    <mergeCell ref="C48:E48"/>
    <mergeCell ref="C81:E81"/>
    <mergeCell ref="C82:E82"/>
    <mergeCell ref="C38:E38"/>
    <mergeCell ref="C32:E32"/>
    <mergeCell ref="C27:E27"/>
    <mergeCell ref="C28:E28"/>
    <mergeCell ref="C29:E29"/>
    <mergeCell ref="C30:E30"/>
    <mergeCell ref="C31:E31"/>
    <mergeCell ref="C52:E52"/>
    <mergeCell ref="C59:E59"/>
    <mergeCell ref="C6:E6"/>
    <mergeCell ref="D8:E8"/>
    <mergeCell ref="C9:E9"/>
    <mergeCell ref="D10:E10"/>
    <mergeCell ref="C13:E13"/>
    <mergeCell ref="C14:E14"/>
    <mergeCell ref="C15:E15"/>
    <mergeCell ref="C130:E130"/>
    <mergeCell ref="C18:E18"/>
    <mergeCell ref="C17:E17"/>
    <mergeCell ref="C16:E16"/>
    <mergeCell ref="C26:E26"/>
    <mergeCell ref="C25:E25"/>
    <mergeCell ref="C24:E24"/>
    <mergeCell ref="C23:E23"/>
    <mergeCell ref="C22:E22"/>
    <mergeCell ref="C21:E21"/>
    <mergeCell ref="C20:E20"/>
    <mergeCell ref="C19:E19"/>
    <mergeCell ref="C36:E36"/>
    <mergeCell ref="C37:E37"/>
    <mergeCell ref="C41:E41"/>
    <mergeCell ref="C40:E40"/>
    <mergeCell ref="C39:E39"/>
    <mergeCell ref="D177:E177"/>
    <mergeCell ref="D178:E178"/>
    <mergeCell ref="D159:E159"/>
    <mergeCell ref="D160:E160"/>
    <mergeCell ref="D161:E161"/>
    <mergeCell ref="D162:E162"/>
    <mergeCell ref="D163:E163"/>
    <mergeCell ref="D164:E164"/>
    <mergeCell ref="D165:E165"/>
    <mergeCell ref="D166:E166"/>
    <mergeCell ref="D167:E167"/>
    <mergeCell ref="D181:E181"/>
    <mergeCell ref="D182:E182"/>
    <mergeCell ref="D183:E183"/>
    <mergeCell ref="D184:E184"/>
    <mergeCell ref="D185:E185"/>
    <mergeCell ref="D186:E186"/>
    <mergeCell ref="D195:E195"/>
    <mergeCell ref="D194:E194"/>
    <mergeCell ref="D168:E168"/>
    <mergeCell ref="D169:E169"/>
    <mergeCell ref="D193:E193"/>
    <mergeCell ref="D192:E192"/>
    <mergeCell ref="D191:E191"/>
    <mergeCell ref="D190:E190"/>
    <mergeCell ref="D189:E189"/>
    <mergeCell ref="D188:E188"/>
    <mergeCell ref="D187:E187"/>
    <mergeCell ref="D170:E170"/>
    <mergeCell ref="D171:E171"/>
    <mergeCell ref="D172:E172"/>
    <mergeCell ref="D173:E173"/>
    <mergeCell ref="D174:E174"/>
    <mergeCell ref="D175:E175"/>
    <mergeCell ref="D176:E176"/>
    <mergeCell ref="C250:E250"/>
    <mergeCell ref="B11:E11"/>
    <mergeCell ref="B44:E44"/>
    <mergeCell ref="B129:E129"/>
    <mergeCell ref="B149:E149"/>
    <mergeCell ref="B219:E219"/>
    <mergeCell ref="B45:E45"/>
    <mergeCell ref="B2:E2"/>
    <mergeCell ref="D198:E198"/>
    <mergeCell ref="D197:E197"/>
    <mergeCell ref="D196:E196"/>
    <mergeCell ref="D35:E35"/>
    <mergeCell ref="D131:E131"/>
    <mergeCell ref="D213:E213"/>
    <mergeCell ref="D212:E212"/>
    <mergeCell ref="D211:E211"/>
    <mergeCell ref="D210:E210"/>
    <mergeCell ref="D209:E209"/>
    <mergeCell ref="D208:E208"/>
    <mergeCell ref="D207:E207"/>
    <mergeCell ref="D206:E206"/>
    <mergeCell ref="D205:E205"/>
    <mergeCell ref="D179:E179"/>
    <mergeCell ref="D180:E180"/>
  </mergeCells>
  <conditionalFormatting sqref="D151:E213">
    <cfRule type="expression" dxfId="3" priority="3">
      <formula>C151="yes"</formula>
    </cfRule>
  </conditionalFormatting>
  <conditionalFormatting sqref="D35:E35">
    <cfRule type="expression" dxfId="2" priority="2">
      <formula>$C$35="Yes"</formula>
    </cfRule>
  </conditionalFormatting>
  <conditionalFormatting sqref="D131:E131">
    <cfRule type="expression" dxfId="1" priority="1">
      <formula>$C$131="Yes"</formula>
    </cfRule>
  </conditionalFormatting>
  <dataValidations count="21">
    <dataValidation type="list" allowBlank="1" showInputMessage="1" showErrorMessage="1" sqref="C6">
      <formula1>One</formula1>
    </dataValidation>
    <dataValidation type="list" allowBlank="1" showInputMessage="1" showErrorMessage="1" sqref="C7">
      <formula1>Two</formula1>
    </dataValidation>
    <dataValidation type="list" allowBlank="1" showInputMessage="1" showErrorMessage="1" sqref="C8">
      <formula1>Three</formula1>
    </dataValidation>
    <dataValidation type="list" allowBlank="1" showInputMessage="1" showErrorMessage="1" sqref="C9">
      <formula1>Four</formula1>
    </dataValidation>
    <dataValidation type="list" allowBlank="1" showInputMessage="1" showErrorMessage="1" sqref="C10">
      <formula1>Five</formula1>
    </dataValidation>
    <dataValidation type="list" allowBlank="1" showInputMessage="1" showErrorMessage="1" sqref="C231:C237 E34 C33 C35 C26:C27 C57:C58 C60:C62 C65:C77 C79 C82 C109:C127 C99 C101 C103 C105 C107 C16:C21 C131 C32:E32 C143:C147 E147 C151:C214 C46 C226:C229 C13:C14 C91:C93 C95 C97 C133:C139 C141 C89:E89 C88 C42:C43 C217:C218 C255:C256">
      <formula1>Six</formula1>
    </dataValidation>
    <dataValidation type="list" allowBlank="1" showInputMessage="1" showErrorMessage="1" sqref="C22">
      <formula1>Seven</formula1>
    </dataValidation>
    <dataValidation type="list" allowBlank="1" showInputMessage="1" showErrorMessage="1" sqref="C47">
      <formula1>Fifteen</formula1>
    </dataValidation>
    <dataValidation type="list" allowBlank="1" showInputMessage="1" showErrorMessage="1" sqref="C48:C55">
      <formula1>Sixteen</formula1>
    </dataValidation>
    <dataValidation type="list" allowBlank="1" showInputMessage="1" showErrorMessage="1" sqref="C56">
      <formula1>eighteen</formula1>
    </dataValidation>
    <dataValidation type="list" allowBlank="1" showInputMessage="1" showErrorMessage="1" sqref="C63">
      <formula1>Diet</formula1>
    </dataValidation>
    <dataValidation type="list" allowBlank="1" showInputMessage="1" showErrorMessage="1" sqref="C142">
      <formula1>Full</formula1>
    </dataValidation>
    <dataValidation type="list" allowBlank="1" showInputMessage="1" showErrorMessage="1" sqref="C216">
      <formula1>Migrant</formula1>
    </dataValidation>
    <dataValidation type="list" allowBlank="1" showInputMessage="1" showErrorMessage="1" sqref="C220">
      <formula1>Gender</formula1>
    </dataValidation>
    <dataValidation type="list" allowBlank="1" showInputMessage="1" showErrorMessage="1" sqref="C15:E15">
      <formula1>eight</formula1>
    </dataValidation>
    <dataValidation allowBlank="1" showInputMessage="1" sqref="C23:E23"/>
    <dataValidation type="custom" allowBlank="1" showInputMessage="1" showErrorMessage="1" sqref="D131:E131 D35:E35">
      <formula1>"&lt;0&gt;"</formula1>
    </dataValidation>
    <dataValidation type="list" allowBlank="1" showInputMessage="1" showErrorMessage="1" sqref="C251">
      <formula1>Cardiac</formula1>
    </dataValidation>
    <dataValidation type="list" allowBlank="1" showInputMessage="1" showErrorMessage="1" sqref="C252">
      <formula1>Orthopaedic</formula1>
    </dataValidation>
    <dataValidation type="list" allowBlank="1" showInputMessage="1" showErrorMessage="1" sqref="C253">
      <formula1>Uterine</formula1>
    </dataValidation>
    <dataValidation type="list" allowBlank="1" showInputMessage="1" showErrorMessage="1" sqref="C254">
      <formula1>Ophthalmology</formula1>
    </dataValidation>
  </dataValidations>
  <hyperlinks>
    <hyperlink ref="D151" r:id="rId1"/>
    <hyperlink ref="D154" r:id="rId2"/>
    <hyperlink ref="D131" r:id="rId3"/>
    <hyperlink ref="D35" r:id="rId4"/>
    <hyperlink ref="D152" r:id="rId5"/>
    <hyperlink ref="D153" r:id="rId6"/>
    <hyperlink ref="D155" r:id="rId7"/>
    <hyperlink ref="D156" r:id="rId8"/>
    <hyperlink ref="D157" r:id="rId9"/>
    <hyperlink ref="D158" r:id="rId10"/>
    <hyperlink ref="D159" r:id="rId11"/>
    <hyperlink ref="D160" r:id="rId12"/>
    <hyperlink ref="D161" r:id="rId13"/>
    <hyperlink ref="D162" r:id="rId14"/>
    <hyperlink ref="D163" r:id="rId15"/>
    <hyperlink ref="D164" r:id="rId16"/>
    <hyperlink ref="D165" r:id="rId17"/>
    <hyperlink ref="D166" r:id="rId18"/>
    <hyperlink ref="D167" r:id="rId19"/>
    <hyperlink ref="D168" r:id="rId20"/>
    <hyperlink ref="D169" r:id="rId21"/>
    <hyperlink ref="D170" r:id="rId22"/>
    <hyperlink ref="D171" r:id="rId23"/>
    <hyperlink ref="D172" r:id="rId24"/>
    <hyperlink ref="D173" r:id="rId25"/>
    <hyperlink ref="D174" r:id="rId26"/>
    <hyperlink ref="D175" r:id="rId27"/>
    <hyperlink ref="D176" r:id="rId28"/>
    <hyperlink ref="D177" r:id="rId29"/>
    <hyperlink ref="D178" r:id="rId30"/>
    <hyperlink ref="D179" r:id="rId31"/>
    <hyperlink ref="D180" r:id="rId32"/>
    <hyperlink ref="D181" r:id="rId33"/>
    <hyperlink ref="D182" r:id="rId34"/>
    <hyperlink ref="D183" r:id="rId35"/>
    <hyperlink ref="D184" r:id="rId36"/>
    <hyperlink ref="D185" r:id="rId37"/>
    <hyperlink ref="D186" r:id="rId38"/>
    <hyperlink ref="D187" r:id="rId39"/>
    <hyperlink ref="D188" r:id="rId40"/>
    <hyperlink ref="D189" r:id="rId41"/>
    <hyperlink ref="D190" r:id="rId42"/>
    <hyperlink ref="D191" r:id="rId43"/>
    <hyperlink ref="D192" r:id="rId44"/>
    <hyperlink ref="D193" r:id="rId45"/>
    <hyperlink ref="D194" r:id="rId46"/>
    <hyperlink ref="D195" r:id="rId47"/>
    <hyperlink ref="D196" r:id="rId48"/>
    <hyperlink ref="D197" r:id="rId49"/>
    <hyperlink ref="D198" r:id="rId50"/>
    <hyperlink ref="D199" r:id="rId51"/>
    <hyperlink ref="D200" r:id="rId52"/>
    <hyperlink ref="D201" r:id="rId53"/>
    <hyperlink ref="D202" r:id="rId54"/>
    <hyperlink ref="D203" r:id="rId55"/>
    <hyperlink ref="D204" r:id="rId56"/>
    <hyperlink ref="D205" r:id="rId57"/>
    <hyperlink ref="D206" r:id="rId58"/>
    <hyperlink ref="D207" r:id="rId59"/>
    <hyperlink ref="D208" r:id="rId60"/>
    <hyperlink ref="D209" r:id="rId61"/>
    <hyperlink ref="D210" r:id="rId62"/>
    <hyperlink ref="D211" r:id="rId63"/>
    <hyperlink ref="D212" r:id="rId64"/>
    <hyperlink ref="D213" r:id="rId65"/>
  </hyperlinks>
  <pageMargins left="0.7" right="0.7" top="0.75" bottom="0.75" header="0.3" footer="0.3"/>
  <pageSetup paperSize="9" orientation="portrait" r:id="rId66"/>
  <ignoredErrors>
    <ignoredError sqref="D251:D255 D256" unlockedFormula="1"/>
  </ignoredErrors>
  <drawing r:id="rId67"/>
  <legacyDrawing r:id="rId68"/>
  <mc:AlternateContent xmlns:mc="http://schemas.openxmlformats.org/markup-compatibility/2006">
    <mc:Choice Requires="x14">
      <controls>
        <mc:AlternateContent xmlns:mc="http://schemas.openxmlformats.org/markup-compatibility/2006">
          <mc:Choice Requires="x14">
            <control shapeId="1096" r:id="rId69" name="Button 72">
              <controlPr defaultSize="0" print="0" autoFill="0" autoPict="0" macro="[0]!CreateWord">
                <anchor moveWithCells="1" sizeWithCells="1">
                  <from>
                    <xdr:col>1</xdr:col>
                    <xdr:colOff>9525</xdr:colOff>
                    <xdr:row>256</xdr:row>
                    <xdr:rowOff>304800</xdr:rowOff>
                  </from>
                  <to>
                    <xdr:col>4</xdr:col>
                    <xdr:colOff>581025</xdr:colOff>
                    <xdr:row>257</xdr:row>
                    <xdr:rowOff>285750</xdr:rowOff>
                  </to>
                </anchor>
              </controlPr>
            </control>
          </mc:Choice>
        </mc:AlternateContent>
        <mc:AlternateContent xmlns:mc="http://schemas.openxmlformats.org/markup-compatibility/2006">
          <mc:Choice Requires="x14">
            <control shapeId="1115" r:id="rId70" name="Button 91">
              <controlPr defaultSize="0" print="0" autoFill="0" autoPict="0" macro="[0]!CreatePDF">
                <anchor moveWithCells="1" sizeWithCells="1">
                  <from>
                    <xdr:col>1</xdr:col>
                    <xdr:colOff>0</xdr:colOff>
                    <xdr:row>259</xdr:row>
                    <xdr:rowOff>19050</xdr:rowOff>
                  </from>
                  <to>
                    <xdr:col>4</xdr:col>
                    <xdr:colOff>571500</xdr:colOff>
                    <xdr:row>259</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INDIRECT(+Sheet2!$C$12)</xm:f>
          </x14:formula1>
          <xm:sqref>D8</xm:sqref>
        </x14:dataValidation>
        <x14:dataValidation type="list" allowBlank="1" showInputMessage="1">
          <x14:formula1>
            <xm:f>INDIRECT(Sheet2!$J$5)</xm:f>
          </x14:formula1>
          <xm:sqref>D10</xm:sqref>
        </x14:dataValidation>
        <x14:dataValidation type="list" allowBlank="1" showInputMessage="1" showErrorMessage="1">
          <x14:formula1>
            <xm:f>INDIRECT(+Sheet2!$N$12)</xm:f>
          </x14:formula1>
          <xm:sqref>C24</xm:sqref>
        </x14:dataValidation>
        <x14:dataValidation type="list" allowBlank="1" showInputMessage="1" showErrorMessage="1">
          <x14:formula1>
            <xm:f>INDIRECT(+Sheet2!$N$13)</xm:f>
          </x14:formula1>
          <xm:sqref>C25</xm:sqref>
        </x14:dataValidation>
        <x14:dataValidation type="list" allowBlank="1" showInputMessage="1" showErrorMessage="1">
          <x14:formula1>
            <xm:f>INDIRECT(+Sheet2!$N$16)</xm:f>
          </x14:formula1>
          <xm:sqref>C34</xm:sqref>
        </x14:dataValidation>
        <x14:dataValidation type="list" allowBlank="1" showInputMessage="1" showErrorMessage="1">
          <x14:formula1>
            <xm:f>INDIRECT(+Sheet2!$B$12)</xm:f>
          </x14:formula1>
          <xm:sqref>E7</xm:sqref>
        </x14:dataValidation>
        <x14:dataValidation type="list" allowBlank="1" showInputMessage="1" showErrorMessage="1">
          <x14:formula1>
            <xm:f>INDIRECT(+Sheet2!$O$16)</xm:f>
          </x14:formula1>
          <xm:sqref>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80"/>
  <sheetViews>
    <sheetView topLeftCell="W1" workbookViewId="0">
      <selection activeCell="Z1" sqref="Z1:Z16"/>
    </sheetView>
  </sheetViews>
  <sheetFormatPr defaultRowHeight="12.75"/>
  <sheetData>
    <row r="1" spans="1:29" ht="102" thickBot="1">
      <c r="A1" s="3" t="s">
        <v>1</v>
      </c>
      <c r="B1" s="3" t="s">
        <v>13</v>
      </c>
      <c r="C1" s="3" t="s">
        <v>20</v>
      </c>
      <c r="D1" s="5" t="s">
        <v>21</v>
      </c>
      <c r="E1" s="4" t="s">
        <v>30</v>
      </c>
      <c r="F1" s="4" t="s">
        <v>32</v>
      </c>
      <c r="G1" s="4" t="s">
        <v>38</v>
      </c>
      <c r="H1" s="4" t="s">
        <v>43</v>
      </c>
      <c r="I1" s="3" t="s">
        <v>45</v>
      </c>
      <c r="J1" s="3" t="s">
        <v>48</v>
      </c>
      <c r="K1" s="1" t="s">
        <v>50</v>
      </c>
      <c r="L1" s="1" t="s">
        <v>49</v>
      </c>
      <c r="M1" s="8" t="s">
        <v>163</v>
      </c>
      <c r="N1" s="3" t="s">
        <v>164</v>
      </c>
      <c r="O1" s="8" t="s">
        <v>172</v>
      </c>
      <c r="P1" s="4" t="s">
        <v>72</v>
      </c>
      <c r="Q1" s="11" t="s">
        <v>173</v>
      </c>
      <c r="R1" s="11" t="s">
        <v>174</v>
      </c>
      <c r="S1" s="11" t="s">
        <v>79</v>
      </c>
      <c r="T1" s="11" t="s">
        <v>85</v>
      </c>
      <c r="U1" s="3" t="s">
        <v>88</v>
      </c>
      <c r="V1" s="8" t="s">
        <v>175</v>
      </c>
      <c r="W1" s="8" t="s">
        <v>178</v>
      </c>
      <c r="X1" s="3" t="s">
        <v>155</v>
      </c>
      <c r="Y1" s="8" t="s">
        <v>182</v>
      </c>
      <c r="Z1" s="8" t="s">
        <v>394</v>
      </c>
    </row>
    <row r="2" spans="1:29" ht="57" thickBot="1">
      <c r="A2" s="1" t="s">
        <v>2</v>
      </c>
      <c r="B2" s="1" t="s">
        <v>14</v>
      </c>
      <c r="C2" s="4" t="s">
        <v>21</v>
      </c>
      <c r="D2" s="1" t="s">
        <v>22</v>
      </c>
      <c r="E2" s="1" t="s">
        <v>31</v>
      </c>
      <c r="F2" s="1" t="s">
        <v>33</v>
      </c>
      <c r="G2" s="1" t="s">
        <v>39</v>
      </c>
      <c r="H2" s="1" t="s">
        <v>44</v>
      </c>
      <c r="I2" s="1" t="s">
        <v>46</v>
      </c>
      <c r="J2" s="1" t="s">
        <v>49</v>
      </c>
      <c r="K2" s="1" t="s">
        <v>51</v>
      </c>
      <c r="M2" s="9" t="s">
        <v>46</v>
      </c>
      <c r="N2" s="1" t="s">
        <v>53</v>
      </c>
      <c r="O2" s="1" t="s">
        <v>60</v>
      </c>
      <c r="P2" s="1" t="s">
        <v>73</v>
      </c>
      <c r="Q2" s="4" t="s">
        <v>46</v>
      </c>
      <c r="R2">
        <v>1</v>
      </c>
      <c r="S2" s="1" t="s">
        <v>80</v>
      </c>
      <c r="T2" s="1" t="s">
        <v>86</v>
      </c>
      <c r="U2" s="1" t="s">
        <v>89</v>
      </c>
      <c r="V2" s="12" t="s">
        <v>176</v>
      </c>
      <c r="W2" s="12" t="s">
        <v>179</v>
      </c>
      <c r="X2" s="1" t="s">
        <v>156</v>
      </c>
      <c r="Y2" s="12" t="s">
        <v>183</v>
      </c>
      <c r="Z2" s="12" t="s">
        <v>37</v>
      </c>
    </row>
    <row r="3" spans="1:29" ht="57" thickBot="1">
      <c r="A3" s="1" t="s">
        <v>3</v>
      </c>
      <c r="B3" s="1" t="s">
        <v>15</v>
      </c>
      <c r="C3" s="4" t="s">
        <v>30</v>
      </c>
      <c r="D3" s="1" t="s">
        <v>23</v>
      </c>
      <c r="F3" s="1" t="s">
        <v>34</v>
      </c>
      <c r="G3" s="1" t="s">
        <v>40</v>
      </c>
      <c r="H3" s="1" t="s">
        <v>37</v>
      </c>
      <c r="I3" s="1" t="s">
        <v>47</v>
      </c>
      <c r="J3" s="2" t="s">
        <v>50</v>
      </c>
      <c r="K3" s="1" t="s">
        <v>160</v>
      </c>
      <c r="M3" s="9" t="s">
        <v>47</v>
      </c>
      <c r="N3" s="1" t="s">
        <v>54</v>
      </c>
      <c r="O3" s="1" t="s">
        <v>62</v>
      </c>
      <c r="P3" s="1" t="s">
        <v>74</v>
      </c>
      <c r="Q3" s="1" t="s">
        <v>47</v>
      </c>
      <c r="R3">
        <v>2</v>
      </c>
      <c r="S3" s="1" t="s">
        <v>81</v>
      </c>
      <c r="T3" s="1" t="s">
        <v>87</v>
      </c>
      <c r="U3" s="1" t="s">
        <v>90</v>
      </c>
      <c r="V3" s="12" t="s">
        <v>177</v>
      </c>
      <c r="W3" s="12" t="s">
        <v>180</v>
      </c>
      <c r="X3" s="1" t="s">
        <v>157</v>
      </c>
      <c r="Z3" s="9" t="s">
        <v>395</v>
      </c>
      <c r="AB3" s="84"/>
    </row>
    <row r="4" spans="1:29" ht="79.5" thickBot="1">
      <c r="A4" s="1" t="s">
        <v>4</v>
      </c>
      <c r="B4" s="1" t="s">
        <v>16</v>
      </c>
      <c r="C4" s="4" t="s">
        <v>32</v>
      </c>
      <c r="D4" s="1" t="s">
        <v>24</v>
      </c>
      <c r="F4" s="1" t="s">
        <v>35</v>
      </c>
      <c r="G4" s="1" t="s">
        <v>41</v>
      </c>
      <c r="J4" s="6" t="s">
        <v>159</v>
      </c>
      <c r="K4" s="1" t="s">
        <v>52</v>
      </c>
      <c r="N4" s="1" t="s">
        <v>55</v>
      </c>
      <c r="O4" s="1" t="s">
        <v>64</v>
      </c>
      <c r="P4" s="1" t="s">
        <v>75</v>
      </c>
      <c r="Q4" s="1" t="s">
        <v>78</v>
      </c>
      <c r="R4">
        <v>3</v>
      </c>
      <c r="S4" s="1" t="s">
        <v>82</v>
      </c>
      <c r="U4" s="1" t="s">
        <v>91</v>
      </c>
      <c r="W4" s="1" t="s">
        <v>153</v>
      </c>
      <c r="Z4" t="s">
        <v>396</v>
      </c>
    </row>
    <row r="5" spans="1:29" ht="57" thickBot="1">
      <c r="A5" s="1" t="s">
        <v>5</v>
      </c>
      <c r="B5" s="1" t="s">
        <v>17</v>
      </c>
      <c r="C5" s="4" t="s">
        <v>38</v>
      </c>
      <c r="D5" s="1" t="s">
        <v>25</v>
      </c>
      <c r="F5" s="1" t="s">
        <v>36</v>
      </c>
      <c r="G5" s="1" t="s">
        <v>42</v>
      </c>
      <c r="J5" s="7" t="str">
        <f>LEFT(Registration!$C$10,3)</f>
        <v/>
      </c>
      <c r="K5" s="1" t="s">
        <v>162</v>
      </c>
      <c r="N5" s="4" t="s">
        <v>56</v>
      </c>
      <c r="O5" s="1" t="s">
        <v>66</v>
      </c>
      <c r="P5" s="1" t="s">
        <v>76</v>
      </c>
      <c r="R5">
        <v>4</v>
      </c>
      <c r="S5" s="1" t="s">
        <v>83</v>
      </c>
      <c r="U5" s="1" t="s">
        <v>92</v>
      </c>
      <c r="W5" s="1" t="s">
        <v>154</v>
      </c>
      <c r="Z5" t="s">
        <v>397</v>
      </c>
    </row>
    <row r="6" spans="1:29" ht="45.75" thickBot="1">
      <c r="A6" s="1" t="s">
        <v>6</v>
      </c>
      <c r="B6" s="1" t="s">
        <v>18</v>
      </c>
      <c r="C6" s="4" t="s">
        <v>43</v>
      </c>
      <c r="D6" s="1" t="s">
        <v>26</v>
      </c>
      <c r="F6" s="1" t="s">
        <v>37</v>
      </c>
      <c r="K6" s="1" t="s">
        <v>161</v>
      </c>
      <c r="N6" s="4" t="s">
        <v>57</v>
      </c>
      <c r="O6" s="1" t="s">
        <v>67</v>
      </c>
      <c r="P6" s="1" t="s">
        <v>77</v>
      </c>
      <c r="R6">
        <v>5</v>
      </c>
      <c r="S6" s="1" t="s">
        <v>84</v>
      </c>
      <c r="U6" s="1" t="s">
        <v>93</v>
      </c>
      <c r="W6" s="12" t="s">
        <v>152</v>
      </c>
      <c r="Z6" t="s">
        <v>398</v>
      </c>
    </row>
    <row r="7" spans="1:29" ht="34.5" thickBot="1">
      <c r="A7" s="1" t="s">
        <v>7</v>
      </c>
      <c r="B7" s="1" t="s">
        <v>19</v>
      </c>
      <c r="D7" s="1" t="s">
        <v>27</v>
      </c>
      <c r="N7" s="1" t="s">
        <v>58</v>
      </c>
      <c r="O7" s="1" t="s">
        <v>68</v>
      </c>
      <c r="R7">
        <v>6</v>
      </c>
      <c r="U7" s="1" t="s">
        <v>94</v>
      </c>
      <c r="Z7" t="s">
        <v>399</v>
      </c>
    </row>
    <row r="8" spans="1:29" ht="45.75" thickBot="1">
      <c r="A8" s="1" t="s">
        <v>8</v>
      </c>
      <c r="B8" s="13" t="s">
        <v>187</v>
      </c>
      <c r="D8" s="1" t="s">
        <v>28</v>
      </c>
      <c r="N8" s="1" t="s">
        <v>59</v>
      </c>
      <c r="O8" s="1" t="s">
        <v>69</v>
      </c>
      <c r="R8">
        <v>7</v>
      </c>
      <c r="U8" s="1" t="s">
        <v>95</v>
      </c>
      <c r="Z8" t="s">
        <v>400</v>
      </c>
    </row>
    <row r="9" spans="1:29" ht="68.25" thickBot="1">
      <c r="A9" s="1" t="s">
        <v>9</v>
      </c>
      <c r="B9" s="14" t="s">
        <v>188</v>
      </c>
      <c r="D9" s="1" t="s">
        <v>29</v>
      </c>
      <c r="O9" s="1" t="s">
        <v>70</v>
      </c>
      <c r="U9" s="1" t="s">
        <v>96</v>
      </c>
      <c r="Z9" t="s">
        <v>37</v>
      </c>
    </row>
    <row r="10" spans="1:29" ht="57" thickBot="1">
      <c r="A10" s="1" t="s">
        <v>10</v>
      </c>
      <c r="N10" s="6" t="s">
        <v>170</v>
      </c>
      <c r="O10" s="1" t="s">
        <v>71</v>
      </c>
      <c r="U10" s="1" t="s">
        <v>97</v>
      </c>
      <c r="Z10" t="s">
        <v>401</v>
      </c>
      <c r="AC10" s="85"/>
    </row>
    <row r="11" spans="1:29" ht="23.25" thickBot="1">
      <c r="A11" s="15" t="s">
        <v>11</v>
      </c>
      <c r="B11" s="6" t="s">
        <v>186</v>
      </c>
      <c r="C11" s="6" t="s">
        <v>158</v>
      </c>
      <c r="N11" s="7" t="str">
        <f>IF(RIGHT(Registration!B23,1)="?","Six","")</f>
        <v/>
      </c>
      <c r="O11" s="1" t="s">
        <v>61</v>
      </c>
      <c r="U11" s="1" t="s">
        <v>98</v>
      </c>
      <c r="Z11" t="s">
        <v>402</v>
      </c>
    </row>
    <row r="12" spans="1:29" ht="45.75" thickBot="1">
      <c r="A12" s="15" t="s">
        <v>12</v>
      </c>
      <c r="B12" s="7" t="str">
        <f>RIGHT(Registration!C7,4)</f>
        <v/>
      </c>
      <c r="C12" s="7" t="str">
        <f>LEFT(Registration!$C$8,3)</f>
        <v/>
      </c>
      <c r="N12" s="7" t="str">
        <f>IF(RIGHT(Registration!B24,1)="?","Six","")</f>
        <v/>
      </c>
      <c r="O12" s="1" t="s">
        <v>63</v>
      </c>
      <c r="U12" s="1" t="s">
        <v>99</v>
      </c>
      <c r="Z12" t="s">
        <v>37</v>
      </c>
    </row>
    <row r="13" spans="1:29" ht="34.5" thickBot="1">
      <c r="N13" s="7" t="str">
        <f>IF(RIGHT(Registration!B25,1)="?","Six","")</f>
        <v/>
      </c>
      <c r="O13" s="1" t="s">
        <v>65</v>
      </c>
      <c r="U13" s="1" t="s">
        <v>100</v>
      </c>
      <c r="Z13" t="s">
        <v>403</v>
      </c>
      <c r="AC13" s="85"/>
    </row>
    <row r="14" spans="1:29" ht="13.5" thickBot="1">
      <c r="A14" s="10" t="s">
        <v>318</v>
      </c>
      <c r="U14" s="1" t="s">
        <v>101</v>
      </c>
      <c r="Z14" t="s">
        <v>404</v>
      </c>
    </row>
    <row r="15" spans="1:29" ht="23.25" thickBot="1">
      <c r="N15" s="6" t="s">
        <v>171</v>
      </c>
      <c r="O15" s="10" t="s">
        <v>202</v>
      </c>
      <c r="U15" s="1" t="s">
        <v>102</v>
      </c>
      <c r="Z15" t="s">
        <v>405</v>
      </c>
    </row>
    <row r="16" spans="1:29" ht="13.5" thickBot="1">
      <c r="N16" s="7" t="str">
        <f>IF(Registration!C33="Yes","Six","")</f>
        <v/>
      </c>
      <c r="O16" t="str">
        <f>IF(Registration!C42="Yes","Tobacco","Nobacco")</f>
        <v>Nobacco</v>
      </c>
      <c r="U16" s="1" t="s">
        <v>103</v>
      </c>
      <c r="Z16" t="s">
        <v>37</v>
      </c>
    </row>
    <row r="17" spans="1:21" ht="13.5" thickBot="1">
      <c r="A17" t="s">
        <v>317</v>
      </c>
      <c r="U17" s="1" t="s">
        <v>104</v>
      </c>
    </row>
    <row r="18" spans="1:21" ht="14.45" customHeight="1" thickBot="1">
      <c r="A18" s="21" t="s">
        <v>254</v>
      </c>
      <c r="B18" s="22"/>
      <c r="U18" s="1" t="s">
        <v>105</v>
      </c>
    </row>
    <row r="19" spans="1:21" ht="14.45" customHeight="1" thickBot="1">
      <c r="A19" s="21" t="s">
        <v>255</v>
      </c>
      <c r="B19" s="22"/>
      <c r="U19" s="1" t="s">
        <v>106</v>
      </c>
    </row>
    <row r="20" spans="1:21" ht="14.45" customHeight="1" thickBot="1">
      <c r="A20" s="21" t="s">
        <v>256</v>
      </c>
      <c r="B20" s="22"/>
      <c r="U20" s="1" t="s">
        <v>107</v>
      </c>
    </row>
    <row r="21" spans="1:21" ht="14.45" customHeight="1" thickBot="1">
      <c r="A21" s="21" t="s">
        <v>257</v>
      </c>
      <c r="B21" s="22"/>
      <c r="U21" s="1" t="s">
        <v>108</v>
      </c>
    </row>
    <row r="22" spans="1:21" ht="21" customHeight="1" thickBot="1">
      <c r="A22" s="21" t="s">
        <v>258</v>
      </c>
      <c r="B22" s="22"/>
      <c r="U22" s="1" t="s">
        <v>109</v>
      </c>
    </row>
    <row r="23" spans="1:21" ht="14.45" customHeight="1" thickBot="1">
      <c r="A23" s="21" t="s">
        <v>259</v>
      </c>
      <c r="B23" s="22"/>
      <c r="U23" s="1" t="s">
        <v>110</v>
      </c>
    </row>
    <row r="24" spans="1:21" ht="14.45" customHeight="1" thickBot="1">
      <c r="A24" s="21" t="s">
        <v>260</v>
      </c>
      <c r="B24" s="22"/>
      <c r="U24" s="1" t="s">
        <v>111</v>
      </c>
    </row>
    <row r="25" spans="1:21" ht="14.45" customHeight="1" thickBot="1">
      <c r="A25" s="21" t="s">
        <v>261</v>
      </c>
      <c r="B25" s="22"/>
      <c r="U25" s="1" t="s">
        <v>112</v>
      </c>
    </row>
    <row r="26" spans="1:21" ht="14.45" customHeight="1" thickBot="1">
      <c r="A26" s="21" t="s">
        <v>262</v>
      </c>
      <c r="B26" s="22"/>
      <c r="U26" s="1" t="s">
        <v>113</v>
      </c>
    </row>
    <row r="27" spans="1:21" ht="14.45" customHeight="1" thickBot="1">
      <c r="A27" s="21" t="s">
        <v>263</v>
      </c>
      <c r="B27" s="22"/>
      <c r="U27" s="1" t="s">
        <v>114</v>
      </c>
    </row>
    <row r="28" spans="1:21" ht="14.45" customHeight="1" thickBot="1">
      <c r="A28" s="21" t="s">
        <v>264</v>
      </c>
      <c r="B28" s="22"/>
      <c r="U28" s="1" t="s">
        <v>115</v>
      </c>
    </row>
    <row r="29" spans="1:21" ht="14.45" customHeight="1" thickBot="1">
      <c r="A29" s="21" t="s">
        <v>265</v>
      </c>
      <c r="B29" s="22"/>
      <c r="U29" s="1" t="s">
        <v>116</v>
      </c>
    </row>
    <row r="30" spans="1:21" ht="14.45" customHeight="1" thickBot="1">
      <c r="A30" s="21" t="s">
        <v>266</v>
      </c>
      <c r="B30" s="22"/>
      <c r="U30" s="1" t="s">
        <v>117</v>
      </c>
    </row>
    <row r="31" spans="1:21" ht="14.45" customHeight="1" thickBot="1">
      <c r="A31" s="21" t="s">
        <v>267</v>
      </c>
      <c r="B31" s="22"/>
      <c r="U31" s="1" t="s">
        <v>118</v>
      </c>
    </row>
    <row r="32" spans="1:21" ht="14.45" customHeight="1" thickBot="1">
      <c r="A32" s="21" t="s">
        <v>269</v>
      </c>
      <c r="B32" s="22"/>
      <c r="U32" s="1" t="s">
        <v>119</v>
      </c>
    </row>
    <row r="33" spans="1:21" ht="14.45" customHeight="1" thickBot="1">
      <c r="A33" s="21" t="s">
        <v>268</v>
      </c>
      <c r="B33" s="22"/>
      <c r="U33" s="1" t="s">
        <v>120</v>
      </c>
    </row>
    <row r="34" spans="1:21" ht="14.45" customHeight="1" thickBot="1">
      <c r="A34" s="21" t="s">
        <v>270</v>
      </c>
      <c r="B34" s="22"/>
      <c r="U34" s="1" t="s">
        <v>121</v>
      </c>
    </row>
    <row r="35" spans="1:21" ht="14.45" customHeight="1" thickBot="1">
      <c r="A35" s="21" t="s">
        <v>271</v>
      </c>
      <c r="B35" s="22"/>
      <c r="U35" s="1" t="s">
        <v>122</v>
      </c>
    </row>
    <row r="36" spans="1:21" ht="21" customHeight="1" thickBot="1">
      <c r="A36" s="21" t="s">
        <v>272</v>
      </c>
      <c r="B36" s="22"/>
      <c r="U36" s="1" t="s">
        <v>123</v>
      </c>
    </row>
    <row r="37" spans="1:21" ht="14.45" customHeight="1" thickBot="1">
      <c r="A37" s="21" t="s">
        <v>273</v>
      </c>
      <c r="B37" s="22"/>
      <c r="U37" s="1" t="s">
        <v>124</v>
      </c>
    </row>
    <row r="38" spans="1:21" ht="14.45" customHeight="1" thickBot="1">
      <c r="A38" s="21" t="s">
        <v>274</v>
      </c>
      <c r="B38" s="22"/>
      <c r="U38" s="1" t="s">
        <v>125</v>
      </c>
    </row>
    <row r="39" spans="1:21" ht="14.45" customHeight="1" thickBot="1">
      <c r="A39" s="21" t="s">
        <v>275</v>
      </c>
      <c r="B39" s="22"/>
      <c r="U39" s="1" t="s">
        <v>126</v>
      </c>
    </row>
    <row r="40" spans="1:21" ht="21" customHeight="1" thickBot="1">
      <c r="A40" s="21" t="s">
        <v>276</v>
      </c>
      <c r="B40" s="22"/>
      <c r="U40" s="1" t="s">
        <v>127</v>
      </c>
    </row>
    <row r="41" spans="1:21" ht="14.45" customHeight="1" thickBot="1">
      <c r="A41" s="21" t="s">
        <v>277</v>
      </c>
      <c r="B41" s="22"/>
      <c r="U41" s="1" t="s">
        <v>128</v>
      </c>
    </row>
    <row r="42" spans="1:21" ht="14.45" customHeight="1" thickBot="1">
      <c r="A42" s="21" t="s">
        <v>278</v>
      </c>
      <c r="B42" s="22"/>
      <c r="U42" s="1" t="s">
        <v>129</v>
      </c>
    </row>
    <row r="43" spans="1:21" ht="14.45" customHeight="1" thickBot="1">
      <c r="A43" s="21" t="s">
        <v>279</v>
      </c>
      <c r="B43" s="22"/>
      <c r="U43" s="1" t="s">
        <v>130</v>
      </c>
    </row>
    <row r="44" spans="1:21" ht="14.45" customHeight="1" thickBot="1">
      <c r="A44" s="21" t="s">
        <v>281</v>
      </c>
      <c r="B44" s="22"/>
      <c r="U44" s="1" t="s">
        <v>131</v>
      </c>
    </row>
    <row r="45" spans="1:21" ht="14.45" customHeight="1" thickBot="1">
      <c r="A45" s="21" t="s">
        <v>280</v>
      </c>
      <c r="B45" s="22"/>
      <c r="U45" s="1" t="s">
        <v>132</v>
      </c>
    </row>
    <row r="46" spans="1:21" ht="14.45" customHeight="1" thickBot="1">
      <c r="A46" s="21" t="s">
        <v>282</v>
      </c>
      <c r="B46" s="22"/>
      <c r="U46" s="1" t="s">
        <v>133</v>
      </c>
    </row>
    <row r="47" spans="1:21" ht="21" customHeight="1" thickBot="1">
      <c r="A47" s="21" t="s">
        <v>283</v>
      </c>
      <c r="B47" s="22"/>
      <c r="U47" s="1" t="s">
        <v>134</v>
      </c>
    </row>
    <row r="48" spans="1:21" ht="14.45" customHeight="1" thickBot="1">
      <c r="A48" s="21" t="s">
        <v>284</v>
      </c>
      <c r="B48" s="22"/>
      <c r="U48" s="1" t="s">
        <v>135</v>
      </c>
    </row>
    <row r="49" spans="1:21" ht="14.45" customHeight="1" thickBot="1">
      <c r="A49" s="21" t="s">
        <v>285</v>
      </c>
      <c r="B49" s="22"/>
      <c r="U49" s="1" t="s">
        <v>136</v>
      </c>
    </row>
    <row r="50" spans="1:21" ht="14.45" customHeight="1" thickBot="1">
      <c r="A50" s="21" t="s">
        <v>286</v>
      </c>
      <c r="B50" s="22"/>
      <c r="U50" s="1" t="s">
        <v>137</v>
      </c>
    </row>
    <row r="51" spans="1:21" ht="14.45" customHeight="1" thickBot="1">
      <c r="A51" s="21" t="s">
        <v>287</v>
      </c>
      <c r="B51" s="22"/>
      <c r="U51" s="1" t="s">
        <v>138</v>
      </c>
    </row>
    <row r="52" spans="1:21" ht="14.45" customHeight="1" thickBot="1">
      <c r="A52" s="21" t="s">
        <v>288</v>
      </c>
      <c r="B52" s="22"/>
      <c r="U52" s="1" t="s">
        <v>139</v>
      </c>
    </row>
    <row r="53" spans="1:21" ht="14.45" customHeight="1" thickBot="1">
      <c r="A53" s="21" t="s">
        <v>289</v>
      </c>
      <c r="B53" s="22"/>
      <c r="U53" s="1" t="s">
        <v>140</v>
      </c>
    </row>
    <row r="54" spans="1:21" ht="14.45" customHeight="1" thickBot="1">
      <c r="A54" s="21" t="s">
        <v>290</v>
      </c>
      <c r="B54" s="22"/>
      <c r="U54" s="1" t="s">
        <v>141</v>
      </c>
    </row>
    <row r="55" spans="1:21" ht="14.45" customHeight="1" thickBot="1">
      <c r="A55" s="21" t="s">
        <v>291</v>
      </c>
      <c r="B55" s="22"/>
      <c r="U55" s="1" t="s">
        <v>142</v>
      </c>
    </row>
    <row r="56" spans="1:21" ht="14.45" customHeight="1" thickBot="1">
      <c r="A56" s="21" t="s">
        <v>292</v>
      </c>
      <c r="B56" s="22"/>
      <c r="U56" s="1" t="s">
        <v>143</v>
      </c>
    </row>
    <row r="57" spans="1:21" ht="14.45" customHeight="1" thickBot="1">
      <c r="A57" s="21" t="s">
        <v>293</v>
      </c>
      <c r="B57" s="22"/>
      <c r="U57" s="1" t="s">
        <v>144</v>
      </c>
    </row>
    <row r="58" spans="1:21" ht="14.45" customHeight="1" thickBot="1">
      <c r="A58" s="21" t="s">
        <v>294</v>
      </c>
      <c r="B58" s="22"/>
      <c r="U58" s="1" t="s">
        <v>145</v>
      </c>
    </row>
    <row r="59" spans="1:21" ht="14.45" customHeight="1" thickBot="1">
      <c r="A59" s="21" t="s">
        <v>295</v>
      </c>
      <c r="B59" s="22"/>
      <c r="U59" s="1" t="s">
        <v>146</v>
      </c>
    </row>
    <row r="60" spans="1:21" ht="14.45" customHeight="1" thickBot="1">
      <c r="A60" s="21" t="s">
        <v>296</v>
      </c>
      <c r="B60" s="22"/>
      <c r="U60" s="1" t="s">
        <v>147</v>
      </c>
    </row>
    <row r="61" spans="1:21" ht="14.45" customHeight="1" thickBot="1">
      <c r="A61" s="21" t="s">
        <v>297</v>
      </c>
      <c r="B61" s="22"/>
      <c r="U61" s="1" t="s">
        <v>148</v>
      </c>
    </row>
    <row r="62" spans="1:21" ht="14.45" customHeight="1" thickBot="1">
      <c r="A62" s="21" t="s">
        <v>298</v>
      </c>
      <c r="B62" s="22"/>
      <c r="U62" s="1" t="s">
        <v>149</v>
      </c>
    </row>
    <row r="63" spans="1:21" ht="14.45" customHeight="1" thickBot="1">
      <c r="A63" s="21" t="s">
        <v>299</v>
      </c>
      <c r="B63" s="22"/>
      <c r="U63" s="1" t="s">
        <v>150</v>
      </c>
    </row>
    <row r="64" spans="1:21" ht="14.45" customHeight="1" thickBot="1">
      <c r="A64" s="21" t="s">
        <v>300</v>
      </c>
      <c r="B64" s="22"/>
      <c r="U64" s="1" t="s">
        <v>151</v>
      </c>
    </row>
    <row r="65" spans="1:2" ht="13.9" customHeight="1">
      <c r="A65" s="21" t="s">
        <v>301</v>
      </c>
      <c r="B65" s="22"/>
    </row>
    <row r="66" spans="1:2" ht="13.9" customHeight="1">
      <c r="A66" s="21" t="s">
        <v>302</v>
      </c>
      <c r="B66" s="22"/>
    </row>
    <row r="67" spans="1:2" ht="13.9" customHeight="1">
      <c r="A67" s="21" t="s">
        <v>303</v>
      </c>
      <c r="B67" s="22"/>
    </row>
    <row r="68" spans="1:2" ht="13.9" customHeight="1">
      <c r="A68" s="21" t="s">
        <v>304</v>
      </c>
      <c r="B68" s="22"/>
    </row>
    <row r="69" spans="1:2" ht="13.9" customHeight="1">
      <c r="A69" s="21" t="s">
        <v>305</v>
      </c>
      <c r="B69" s="22"/>
    </row>
    <row r="70" spans="1:2" ht="13.9" customHeight="1">
      <c r="A70" s="21" t="s">
        <v>306</v>
      </c>
      <c r="B70" s="22"/>
    </row>
    <row r="71" spans="1:2" ht="13.9" customHeight="1">
      <c r="A71" s="21" t="s">
        <v>307</v>
      </c>
      <c r="B71" s="22"/>
    </row>
    <row r="72" spans="1:2" ht="13.9" customHeight="1">
      <c r="A72" s="21" t="s">
        <v>308</v>
      </c>
      <c r="B72" s="22"/>
    </row>
    <row r="73" spans="1:2" ht="13.9" customHeight="1">
      <c r="A73" s="21" t="s">
        <v>309</v>
      </c>
      <c r="B73" s="22"/>
    </row>
    <row r="74" spans="1:2" ht="13.9" customHeight="1">
      <c r="A74" s="21" t="s">
        <v>310</v>
      </c>
      <c r="B74" s="22"/>
    </row>
    <row r="75" spans="1:2" ht="13.9" customHeight="1">
      <c r="A75" s="21" t="s">
        <v>311</v>
      </c>
      <c r="B75" s="22"/>
    </row>
    <row r="76" spans="1:2" ht="13.9" customHeight="1">
      <c r="A76" s="21" t="s">
        <v>312</v>
      </c>
      <c r="B76" s="22"/>
    </row>
    <row r="77" spans="1:2" ht="13.9" customHeight="1">
      <c r="A77" s="21" t="s">
        <v>313</v>
      </c>
      <c r="B77" s="22"/>
    </row>
    <row r="78" spans="1:2" ht="13.9" customHeight="1">
      <c r="A78" s="21" t="s">
        <v>314</v>
      </c>
      <c r="B78" s="22"/>
    </row>
    <row r="79" spans="1:2" ht="13.9" customHeight="1">
      <c r="A79" s="21" t="s">
        <v>315</v>
      </c>
      <c r="B79" s="22"/>
    </row>
    <row r="80" spans="1:2" ht="14.45" customHeight="1" thickBot="1">
      <c r="A80" s="23" t="s">
        <v>316</v>
      </c>
      <c r="B80" s="24"/>
    </row>
  </sheetData>
  <conditionalFormatting sqref="A18:B80">
    <cfRule type="expression" dxfId="0" priority="1">
      <formula>XFD18="yes"</formula>
    </cfRule>
  </conditionalFormatting>
  <hyperlinks>
    <hyperlink ref="A80" r:id="rId1"/>
    <hyperlink ref="A79" r:id="rId2"/>
    <hyperlink ref="A78" r:id="rId3"/>
    <hyperlink ref="A77" r:id="rId4"/>
    <hyperlink ref="A76" r:id="rId5"/>
    <hyperlink ref="A75" r:id="rId6"/>
    <hyperlink ref="A74" r:id="rId7"/>
    <hyperlink ref="A73" r:id="rId8"/>
    <hyperlink ref="A72" r:id="rId9"/>
    <hyperlink ref="A71" r:id="rId10"/>
    <hyperlink ref="A70" r:id="rId11"/>
    <hyperlink ref="A69" r:id="rId12"/>
    <hyperlink ref="A68" r:id="rId13"/>
    <hyperlink ref="A67" r:id="rId14"/>
    <hyperlink ref="A66" r:id="rId15"/>
    <hyperlink ref="A65" r:id="rId16"/>
    <hyperlink ref="A64" r:id="rId17"/>
    <hyperlink ref="A63" r:id="rId18"/>
    <hyperlink ref="A62" r:id="rId19"/>
    <hyperlink ref="A61" r:id="rId20"/>
    <hyperlink ref="A60" r:id="rId21"/>
    <hyperlink ref="A59" r:id="rId22"/>
    <hyperlink ref="A58" r:id="rId23"/>
    <hyperlink ref="A57" r:id="rId24"/>
    <hyperlink ref="A56" r:id="rId25"/>
    <hyperlink ref="A55" r:id="rId26"/>
    <hyperlink ref="A54" r:id="rId27"/>
    <hyperlink ref="A53" r:id="rId28"/>
    <hyperlink ref="A52" r:id="rId29"/>
    <hyperlink ref="A51" r:id="rId30"/>
    <hyperlink ref="A50" r:id="rId31"/>
    <hyperlink ref="A49" r:id="rId32"/>
    <hyperlink ref="A48" r:id="rId33"/>
    <hyperlink ref="A47" r:id="rId34"/>
    <hyperlink ref="A46" r:id="rId35"/>
    <hyperlink ref="A44" r:id="rId36"/>
    <hyperlink ref="A45" r:id="rId37"/>
    <hyperlink ref="A43" r:id="rId38"/>
    <hyperlink ref="A42" r:id="rId39"/>
    <hyperlink ref="A41" r:id="rId40"/>
    <hyperlink ref="A40" r:id="rId41"/>
    <hyperlink ref="A39" r:id="rId42"/>
    <hyperlink ref="A38" r:id="rId43"/>
    <hyperlink ref="A37" r:id="rId44"/>
    <hyperlink ref="A36" r:id="rId45"/>
    <hyperlink ref="A35" r:id="rId46"/>
    <hyperlink ref="A34" r:id="rId47"/>
    <hyperlink ref="A32" r:id="rId48"/>
    <hyperlink ref="A33" r:id="rId49"/>
    <hyperlink ref="A31" r:id="rId50"/>
    <hyperlink ref="A30" r:id="rId51"/>
    <hyperlink ref="A29" r:id="rId52"/>
    <hyperlink ref="A28" r:id="rId53"/>
    <hyperlink ref="A27" r:id="rId54"/>
    <hyperlink ref="A26" r:id="rId55"/>
    <hyperlink ref="A25" r:id="rId56"/>
    <hyperlink ref="A24" r:id="rId57"/>
    <hyperlink ref="A23" r:id="rId58"/>
    <hyperlink ref="A22" r:id="rId59"/>
    <hyperlink ref="A21" r:id="rId60"/>
    <hyperlink ref="A20" r:id="rId61"/>
    <hyperlink ref="A19" r:id="rId62"/>
    <hyperlink ref="A18" r:id="rId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Registration</vt:lpstr>
      <vt:lpstr>Sheet2</vt:lpstr>
      <vt:lpstr>Afr</vt:lpstr>
      <vt:lpstr>Asi</vt:lpstr>
      <vt:lpstr>Cardiac</vt:lpstr>
      <vt:lpstr>Diet</vt:lpstr>
      <vt:lpstr>eight</vt:lpstr>
      <vt:lpstr>eighteen</vt:lpstr>
      <vt:lpstr>Fifteen</vt:lpstr>
      <vt:lpstr>Five</vt:lpstr>
      <vt:lpstr>Four</vt:lpstr>
      <vt:lpstr>Full</vt:lpstr>
      <vt:lpstr>Gender</vt:lpstr>
      <vt:lpstr>Incontinence</vt:lpstr>
      <vt:lpstr>Ment</vt:lpstr>
      <vt:lpstr>Migrant</vt:lpstr>
      <vt:lpstr>Mix</vt:lpstr>
      <vt:lpstr>Nobacco</vt:lpstr>
      <vt:lpstr>One</vt:lpstr>
      <vt:lpstr>Ope</vt:lpstr>
      <vt:lpstr>Ophthalmology</vt:lpstr>
      <vt:lpstr>Orthopaedic</vt:lpstr>
      <vt:lpstr>Oth</vt:lpstr>
      <vt:lpstr>PDF</vt:lpstr>
      <vt:lpstr>Seven</vt:lpstr>
      <vt:lpstr>Six</vt:lpstr>
      <vt:lpstr>Sixteen</vt:lpstr>
      <vt:lpstr>Three</vt:lpstr>
      <vt:lpstr>Tobacco</vt:lpstr>
      <vt:lpstr>Two</vt:lpstr>
      <vt:lpstr>Uterine</vt:lpstr>
      <vt:lpstr>Whe</vt:lpstr>
      <vt:lpstr>Whi</vt:lpstr>
    </vt:vector>
  </TitlesOfParts>
  <Company>Scottish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n413941</dc:creator>
  <cp:lastModifiedBy>alan mcquillian</cp:lastModifiedBy>
  <cp:lastPrinted>2016-12-05T11:48:14Z</cp:lastPrinted>
  <dcterms:created xsi:type="dcterms:W3CDTF">2016-08-04T14:31:16Z</dcterms:created>
  <dcterms:modified xsi:type="dcterms:W3CDTF">2017-01-30T14:53:07Z</dcterms:modified>
</cp:coreProperties>
</file>